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Ｈ30新人交流　(日女)\"/>
    </mc:Choice>
  </mc:AlternateContent>
  <xr:revisionPtr revIDLastSave="0" documentId="8_{FAE10EBE-A654-4277-9B6F-F89B9B13B245}" xr6:coauthVersionLast="40" xr6:coauthVersionMax="40" xr10:uidLastSave="{00000000-0000-0000-0000-000000000000}"/>
  <bookViews>
    <workbookView xWindow="-110" yWindow="-110" windowWidth="19420" windowHeight="10420"/>
  </bookViews>
  <sheets>
    <sheet name="会計報告書" sheetId="1" r:id="rId1"/>
    <sheet name="通帳" sheetId="2" r:id="rId2"/>
    <sheet name="持出金" sheetId="3" r:id="rId3"/>
    <sheet name="日計" sheetId="4" r:id="rId4"/>
    <sheet name="まとめ_" sheetId="5" r:id="rId5"/>
  </sheets>
  <definedNames>
    <definedName name="_xlnm.Print_Area" localSheetId="0">会計報告書!$A$1:$E$46</definedName>
    <definedName name="_xlnm.Print_Area" localSheetId="2">持出金!$A$1:$G$69</definedName>
  </definedNames>
  <calcPr calcId="181029" fullCalcOnLoad="1" iterateDelta="1E-4"/>
</workbook>
</file>

<file path=xl/calcChain.xml><?xml version="1.0" encoding="utf-8"?>
<calcChain xmlns="http://schemas.openxmlformats.org/spreadsheetml/2006/main">
  <c r="B66" i="5" l="1"/>
  <c r="B65" i="5"/>
  <c r="B69" i="5" s="1"/>
  <c r="C40" i="1" s="1"/>
  <c r="B64" i="5"/>
  <c r="B63" i="5"/>
  <c r="B44" i="5"/>
  <c r="B29" i="5"/>
  <c r="C18" i="5"/>
  <c r="C17" i="5"/>
  <c r="C16" i="5"/>
  <c r="C15" i="5"/>
  <c r="C14" i="5"/>
  <c r="C13" i="5"/>
  <c r="C12" i="5"/>
  <c r="C11" i="5"/>
  <c r="C10" i="5"/>
  <c r="C9" i="5"/>
  <c r="C8" i="5"/>
  <c r="C7" i="5"/>
  <c r="C19" i="5" s="1"/>
  <c r="C9" i="1" s="1"/>
  <c r="C21" i="1" s="1"/>
  <c r="B43" i="1" s="1"/>
  <c r="C6" i="5"/>
  <c r="C5" i="5"/>
  <c r="C44" i="3"/>
  <c r="C43" i="3"/>
  <c r="C39" i="3"/>
  <c r="C28" i="3"/>
  <c r="C27" i="3"/>
  <c r="C24" i="3"/>
  <c r="C18" i="3"/>
  <c r="C14" i="3"/>
  <c r="B55" i="5" s="1"/>
  <c r="B59" i="5" s="1"/>
  <c r="C38" i="1" s="1"/>
  <c r="C11" i="3"/>
  <c r="C9" i="3"/>
  <c r="C37" i="1"/>
  <c r="C32" i="1"/>
  <c r="C26" i="1"/>
  <c r="C18" i="1"/>
  <c r="C59" i="5"/>
  <c r="B54" i="5"/>
  <c r="C52" i="5"/>
  <c r="B45" i="5"/>
  <c r="C34" i="1" s="1"/>
  <c r="B43" i="5"/>
  <c r="C33" i="1" s="1"/>
  <c r="B37" i="5"/>
  <c r="C34" i="5"/>
  <c r="C31" i="5"/>
  <c r="B31" i="5"/>
  <c r="C30" i="1" s="1"/>
  <c r="B28" i="5"/>
  <c r="C26" i="5"/>
  <c r="C24" i="5"/>
  <c r="C22" i="5"/>
  <c r="B19" i="5"/>
  <c r="E32" i="4"/>
  <c r="F31" i="4"/>
  <c r="C31" i="3" s="1"/>
  <c r="D31" i="4"/>
  <c r="F30" i="4"/>
  <c r="D30" i="4"/>
  <c r="C32" i="3" s="1"/>
  <c r="B51" i="5" s="1"/>
  <c r="B52" i="5" s="1"/>
  <c r="C36" i="1" s="1"/>
  <c r="F29" i="4"/>
  <c r="D29" i="4"/>
  <c r="G29" i="4" s="1"/>
  <c r="G28" i="4"/>
  <c r="C30" i="3" s="1"/>
  <c r="B46" i="5" s="1"/>
  <c r="B47" i="5" s="1"/>
  <c r="C35" i="1" s="1"/>
  <c r="F28" i="4"/>
  <c r="D28" i="4"/>
  <c r="F27" i="4"/>
  <c r="B61" i="5" s="1"/>
  <c r="D27" i="4"/>
  <c r="D32" i="4" s="1"/>
  <c r="AD24" i="4"/>
  <c r="AC24" i="4"/>
  <c r="AA24" i="4"/>
  <c r="Z24" i="4"/>
  <c r="X24" i="4"/>
  <c r="W24" i="4"/>
  <c r="V24" i="4"/>
  <c r="S24" i="4"/>
  <c r="R24" i="4"/>
  <c r="Q24" i="4"/>
  <c r="P24" i="4"/>
  <c r="O24" i="4"/>
  <c r="L24" i="4"/>
  <c r="J24" i="4"/>
  <c r="H24" i="4"/>
  <c r="F24" i="4"/>
  <c r="B60" i="5" s="1"/>
  <c r="B62" i="5" s="1"/>
  <c r="C39" i="1" s="1"/>
  <c r="E24" i="4"/>
  <c r="B57" i="5" s="1"/>
  <c r="AE23" i="4"/>
  <c r="Y23" i="4"/>
  <c r="T23" i="4"/>
  <c r="M23" i="4"/>
  <c r="AF23" i="4" s="1"/>
  <c r="AE22" i="4"/>
  <c r="AB22" i="4"/>
  <c r="C42" i="3" s="1"/>
  <c r="Y22" i="4"/>
  <c r="T22" i="4"/>
  <c r="M22" i="4"/>
  <c r="AF22" i="4" s="1"/>
  <c r="K22" i="4"/>
  <c r="C13" i="3" s="1"/>
  <c r="B32" i="5" s="1"/>
  <c r="J22" i="4"/>
  <c r="I22" i="4"/>
  <c r="C15" i="3" s="1"/>
  <c r="G22" i="4"/>
  <c r="AE21" i="4"/>
  <c r="Y21" i="4"/>
  <c r="T21" i="4"/>
  <c r="M21" i="4"/>
  <c r="AF21" i="4" s="1"/>
  <c r="G21" i="4"/>
  <c r="AE20" i="4"/>
  <c r="Y20" i="4"/>
  <c r="T20" i="4"/>
  <c r="M20" i="4"/>
  <c r="AF20" i="4" s="1"/>
  <c r="AB19" i="4"/>
  <c r="AE19" i="4" s="1"/>
  <c r="Y19" i="4"/>
  <c r="T19" i="4"/>
  <c r="N19" i="4"/>
  <c r="C20" i="3" s="1"/>
  <c r="K19" i="4"/>
  <c r="C21" i="3" s="1"/>
  <c r="B33" i="5" s="1"/>
  <c r="G19" i="4"/>
  <c r="AB18" i="4"/>
  <c r="C40" i="3" s="1"/>
  <c r="Y18" i="4"/>
  <c r="N18" i="4"/>
  <c r="T18" i="4" s="1"/>
  <c r="M18" i="4"/>
  <c r="G18" i="4"/>
  <c r="AB17" i="4"/>
  <c r="AE17" i="4" s="1"/>
  <c r="Y17" i="4"/>
  <c r="N17" i="4"/>
  <c r="T17" i="4" s="1"/>
  <c r="M17" i="4"/>
  <c r="AF17" i="4" s="1"/>
  <c r="G17" i="4"/>
  <c r="AE16" i="4"/>
  <c r="Y16" i="4"/>
  <c r="T16" i="4"/>
  <c r="N16" i="4"/>
  <c r="M16" i="4"/>
  <c r="AF16" i="4" s="1"/>
  <c r="G16" i="4"/>
  <c r="AD15" i="4"/>
  <c r="AE15" i="4" s="1"/>
  <c r="U15" i="4"/>
  <c r="Y15" i="4" s="1"/>
  <c r="N15" i="4"/>
  <c r="C17" i="3" s="1"/>
  <c r="I15" i="4"/>
  <c r="I24" i="4" s="1"/>
  <c r="G15" i="4"/>
  <c r="AE14" i="4"/>
  <c r="Y14" i="4"/>
  <c r="T14" i="4"/>
  <c r="M14" i="4"/>
  <c r="AF14" i="4" s="1"/>
  <c r="G14" i="4"/>
  <c r="AB13" i="4"/>
  <c r="C38" i="3" s="1"/>
  <c r="Y13" i="4"/>
  <c r="T13" i="4"/>
  <c r="AF13" i="4" s="1"/>
  <c r="N13" i="4"/>
  <c r="C25" i="3" s="1"/>
  <c r="M13" i="4"/>
  <c r="G13" i="4"/>
  <c r="AE12" i="4"/>
  <c r="Y12" i="4"/>
  <c r="N12" i="4"/>
  <c r="T12" i="4" s="1"/>
  <c r="AF12" i="4" s="1"/>
  <c r="M12" i="4"/>
  <c r="G12" i="4"/>
  <c r="AE11" i="4"/>
  <c r="AB11" i="4"/>
  <c r="Y11" i="4"/>
  <c r="N11" i="4"/>
  <c r="T11" i="4" s="1"/>
  <c r="AF11" i="4" s="1"/>
  <c r="M11" i="4"/>
  <c r="G11" i="4"/>
  <c r="AE10" i="4"/>
  <c r="Y10" i="4"/>
  <c r="N10" i="4"/>
  <c r="C8" i="3" s="1"/>
  <c r="M10" i="4"/>
  <c r="G10" i="4"/>
  <c r="AE9" i="4"/>
  <c r="Y9" i="4"/>
  <c r="T9" i="4"/>
  <c r="M9" i="4"/>
  <c r="AF9" i="4" s="1"/>
  <c r="G9" i="4"/>
  <c r="AE8" i="4"/>
  <c r="U8" i="4"/>
  <c r="Y8" i="4" s="1"/>
  <c r="T8" i="4"/>
  <c r="M8" i="4"/>
  <c r="G8" i="4"/>
  <c r="AE7" i="4"/>
  <c r="V7" i="4"/>
  <c r="Y7" i="4" s="1"/>
  <c r="T7" i="4"/>
  <c r="M7" i="4"/>
  <c r="G7" i="4"/>
  <c r="AB6" i="4"/>
  <c r="AE6" i="4" s="1"/>
  <c r="Y6" i="4"/>
  <c r="N6" i="4"/>
  <c r="C7" i="3" s="1"/>
  <c r="M6" i="4"/>
  <c r="G6" i="4"/>
  <c r="AB5" i="4"/>
  <c r="C36" i="3" s="1"/>
  <c r="Y5" i="4"/>
  <c r="N5" i="4"/>
  <c r="C19" i="3" s="1"/>
  <c r="M5" i="4"/>
  <c r="G5" i="4"/>
  <c r="AB4" i="4"/>
  <c r="AE4" i="4" s="1"/>
  <c r="U4" i="4"/>
  <c r="C26" i="3" s="1"/>
  <c r="N4" i="4"/>
  <c r="C10" i="3" s="1"/>
  <c r="M4" i="4"/>
  <c r="G4" i="4"/>
  <c r="AE3" i="4"/>
  <c r="Y3" i="4"/>
  <c r="T3" i="4"/>
  <c r="M3" i="4"/>
  <c r="AF3" i="4" s="1"/>
  <c r="G3" i="4"/>
  <c r="G24" i="4" s="1"/>
  <c r="C33" i="3" s="1"/>
  <c r="A53" i="3"/>
  <c r="C50" i="3"/>
  <c r="B50" i="3"/>
  <c r="B45" i="3"/>
  <c r="C23" i="3"/>
  <c r="A3" i="3"/>
  <c r="D36" i="2"/>
  <c r="D35" i="2"/>
  <c r="C35" i="2"/>
  <c r="D34" i="2"/>
  <c r="C34" i="2"/>
  <c r="D33" i="2"/>
  <c r="B33" i="2"/>
  <c r="D32" i="2"/>
  <c r="B32" i="2"/>
  <c r="D31" i="2"/>
  <c r="B31" i="2"/>
  <c r="D30" i="2"/>
  <c r="C30" i="2"/>
  <c r="D29" i="2"/>
  <c r="C29" i="2"/>
  <c r="D28" i="2"/>
  <c r="D27" i="2"/>
  <c r="D26" i="2"/>
  <c r="D25" i="2"/>
  <c r="B13" i="2"/>
  <c r="C12" i="2"/>
  <c r="C11" i="2"/>
  <c r="B10" i="2"/>
  <c r="B9" i="2"/>
  <c r="B8" i="2"/>
  <c r="B7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A3" i="2"/>
  <c r="E41" i="1"/>
  <c r="B41" i="1"/>
  <c r="E21" i="1"/>
  <c r="B21" i="1"/>
  <c r="C12" i="1"/>
  <c r="C11" i="1"/>
  <c r="AF7" i="4" l="1"/>
  <c r="B34" i="5"/>
  <c r="C31" i="1" s="1"/>
  <c r="C41" i="1" s="1"/>
  <c r="B44" i="1" s="1"/>
  <c r="B45" i="1" s="1"/>
  <c r="AF8" i="4"/>
  <c r="AF18" i="4"/>
  <c r="T5" i="4"/>
  <c r="AF5" i="4" s="1"/>
  <c r="T6" i="4"/>
  <c r="AF6" i="4" s="1"/>
  <c r="T10" i="4"/>
  <c r="AF10" i="4" s="1"/>
  <c r="AE18" i="4"/>
  <c r="M19" i="4"/>
  <c r="AF19" i="4" s="1"/>
  <c r="AB24" i="4"/>
  <c r="G30" i="4"/>
  <c r="C12" i="3"/>
  <c r="C16" i="3"/>
  <c r="C29" i="3"/>
  <c r="C37" i="3"/>
  <c r="C41" i="3"/>
  <c r="T4" i="4"/>
  <c r="AF4" i="4" s="1"/>
  <c r="M15" i="4"/>
  <c r="M24" i="4" s="1"/>
  <c r="K24" i="4"/>
  <c r="G31" i="4"/>
  <c r="Y4" i="4"/>
  <c r="Y24" i="4" s="1"/>
  <c r="AE13" i="4"/>
  <c r="T15" i="4"/>
  <c r="AF15" i="4" s="1"/>
  <c r="U24" i="4"/>
  <c r="N24" i="4"/>
  <c r="F32" i="4"/>
  <c r="C22" i="3"/>
  <c r="C35" i="3"/>
  <c r="AE5" i="4"/>
  <c r="AE24" i="4" s="1"/>
  <c r="G27" i="4"/>
  <c r="C45" i="3" l="1"/>
  <c r="D53" i="3" s="1"/>
  <c r="F53" i="3" s="1"/>
  <c r="H54" i="3" s="1"/>
  <c r="AF24" i="4"/>
  <c r="T24" i="4"/>
  <c r="G32" i="4"/>
  <c r="C34" i="3"/>
</calcChain>
</file>

<file path=xl/sharedStrings.xml><?xml version="1.0" encoding="utf-8"?>
<sst xmlns="http://schemas.openxmlformats.org/spreadsheetml/2006/main" count="806" uniqueCount="201">
  <si>
    <t>第23回東日本学生新人新体操選手権大会　第15回東日本学生新体操交流大会　収支予算・決算</t>
  </si>
  <si>
    <t>第24回東日本学生新人新体操選手権大会　第16回東日本学生新体操交流大会　収支予算（案）</t>
  </si>
  <si>
    <t>会場：日本女子体育大学　|  期間：平成30年12月8日-12月9日　</t>
    <rPh sb="3" eb="11">
      <t>ニホンジョシタイイクダイガク</t>
    </rPh>
    <phoneticPr fontId="20"/>
  </si>
  <si>
    <t>〈　収入の部　〉</t>
  </si>
  <si>
    <t>項　目</t>
  </si>
  <si>
    <t>30年度予算</t>
  </si>
  <si>
    <t>30年度決算</t>
  </si>
  <si>
    <t>備考</t>
  </si>
  <si>
    <t>31年度予算(案)</t>
    <rPh sb="7" eb="8">
      <t>アン</t>
    </rPh>
    <phoneticPr fontId="20"/>
  </si>
  <si>
    <t>大会参加費</t>
  </si>
  <si>
    <t>審判依頼費</t>
  </si>
  <si>
    <t>補助役依頼費</t>
  </si>
  <si>
    <t>保険料</t>
  </si>
  <si>
    <t>救護費</t>
    <rPh sb="0" eb="2">
      <t>キュウゴ</t>
    </rPh>
    <rPh sb="2" eb="3">
      <t>ヒ</t>
    </rPh>
    <phoneticPr fontId="20"/>
  </si>
  <si>
    <t>---</t>
  </si>
  <si>
    <t>救護費</t>
    <rPh sb="0" eb="3">
      <t>キュウゴヒ</t>
    </rPh>
    <phoneticPr fontId="20"/>
  </si>
  <si>
    <t>援助金</t>
  </si>
  <si>
    <t>冷暖房費</t>
  </si>
  <si>
    <t>協賛金</t>
  </si>
  <si>
    <t>東京都体操協会</t>
    <rPh sb="0" eb="3">
      <t>トウキョウト</t>
    </rPh>
    <rPh sb="3" eb="5">
      <t>タイソウ</t>
    </rPh>
    <rPh sb="5" eb="7">
      <t>キョウカイ</t>
    </rPh>
    <phoneticPr fontId="20"/>
  </si>
  <si>
    <t>広告費</t>
  </si>
  <si>
    <t>売上金</t>
  </si>
  <si>
    <t>プログラム</t>
  </si>
  <si>
    <t>援助金(一般会計）</t>
  </si>
  <si>
    <t>雑益</t>
  </si>
  <si>
    <t>利息</t>
  </si>
  <si>
    <t>合計</t>
  </si>
  <si>
    <t>〈　支出の部　〉</t>
  </si>
  <si>
    <t>会場借用費</t>
  </si>
  <si>
    <t>日本女子体育大学</t>
    <rPh sb="0" eb="8">
      <t>ニホンジョシタイイクダイガク</t>
    </rPh>
    <phoneticPr fontId="20"/>
  </si>
  <si>
    <t>備品借用費</t>
  </si>
  <si>
    <t>大学開催により全額免除</t>
  </si>
  <si>
    <t>器具運搬・借用費</t>
  </si>
  <si>
    <t>表彰式典費</t>
  </si>
  <si>
    <t>メダル</t>
  </si>
  <si>
    <t>事務消耗費</t>
  </si>
  <si>
    <t>事務消耗品</t>
  </si>
  <si>
    <t>印刷費</t>
  </si>
  <si>
    <t>大会記録印刷費</t>
  </si>
  <si>
    <t>郵送費</t>
  </si>
  <si>
    <t>書類・荷物郵送</t>
  </si>
  <si>
    <t>救護費</t>
  </si>
  <si>
    <t>交通費</t>
  </si>
  <si>
    <t>貴賓・審判・学連</t>
  </si>
  <si>
    <t>宿泊費</t>
  </si>
  <si>
    <t>学連.審判　</t>
  </si>
  <si>
    <t>接待費・食費</t>
  </si>
  <si>
    <t>日当</t>
  </si>
  <si>
    <t>予備費</t>
    <rPh sb="0" eb="3">
      <t>ヨビヒ</t>
    </rPh>
    <phoneticPr fontId="20"/>
  </si>
  <si>
    <t>振込手数料</t>
  </si>
  <si>
    <t>収入総計</t>
  </si>
  <si>
    <t xml:space="preserve">次年度開催地　　 </t>
  </si>
  <si>
    <t>支出総計</t>
  </si>
  <si>
    <t>東京女子体育大学</t>
    <rPh sb="0" eb="8">
      <t>トウキョウジョシタイイクダイガク</t>
    </rPh>
    <phoneticPr fontId="20"/>
  </si>
  <si>
    <t>収支差額</t>
  </si>
  <si>
    <t>（余剰金・関東一般会計へ）</t>
  </si>
  <si>
    <t>通帳データ</t>
  </si>
  <si>
    <t>通帳　責任者</t>
  </si>
  <si>
    <t>伊藤　幸希</t>
    <rPh sb="0" eb="2">
      <t>イトウ</t>
    </rPh>
    <rPh sb="3" eb="5">
      <t>コウキ</t>
    </rPh>
    <phoneticPr fontId="20"/>
  </si>
  <si>
    <t>日付</t>
  </si>
  <si>
    <t>預け入れ</t>
  </si>
  <si>
    <t>引き出し</t>
  </si>
  <si>
    <t>残高</t>
  </si>
  <si>
    <t>内容</t>
  </si>
  <si>
    <t>通帳</t>
  </si>
  <si>
    <t>会計枠</t>
  </si>
  <si>
    <t>項目</t>
  </si>
  <si>
    <t>普通預金利息</t>
  </si>
  <si>
    <t>新人交流ＲＧ</t>
  </si>
  <si>
    <t>雑費</t>
  </si>
  <si>
    <t>北翔大学</t>
  </si>
  <si>
    <t>流通経済大学</t>
  </si>
  <si>
    <t>国士舘大学</t>
  </si>
  <si>
    <t>日本女子体育大学</t>
  </si>
  <si>
    <t>日本体育大学</t>
  </si>
  <si>
    <t>東京女子体育大学</t>
  </si>
  <si>
    <t>京王観光　保険料</t>
  </si>
  <si>
    <t>フジプライズ　メダル</t>
  </si>
  <si>
    <t>大会持ち出し金</t>
  </si>
  <si>
    <t>ヤマト運輸</t>
  </si>
  <si>
    <t>クラフティ</t>
  </si>
  <si>
    <t>持ち出し金戻し</t>
  </si>
  <si>
    <t>持ち出し金入金</t>
  </si>
  <si>
    <t>プログラム売上金</t>
  </si>
  <si>
    <t>京王観光　宿泊費</t>
  </si>
  <si>
    <t>振替</t>
    <rPh sb="0" eb="2">
      <t>フリカエ</t>
    </rPh>
    <phoneticPr fontId="20"/>
  </si>
  <si>
    <t>立教大学</t>
    <rPh sb="0" eb="4">
      <t>リッキョウダイガク</t>
    </rPh>
    <phoneticPr fontId="20"/>
  </si>
  <si>
    <t>京王観光　保険料</t>
    <rPh sb="0" eb="4">
      <t>ケイオウカンコウ</t>
    </rPh>
    <phoneticPr fontId="20"/>
  </si>
  <si>
    <t>大会持ち出し金</t>
    <rPh sb="0" eb="3">
      <t>タイカイモ</t>
    </rPh>
    <rPh sb="4" eb="5">
      <t>ダ</t>
    </rPh>
    <rPh sb="6" eb="7">
      <t>キン</t>
    </rPh>
    <phoneticPr fontId="20"/>
  </si>
  <si>
    <t>京王観光　宿泊・弁当</t>
    <rPh sb="0" eb="4">
      <t>ケイオウカンコウ</t>
    </rPh>
    <rPh sb="8" eb="10">
      <t>ベントウ</t>
    </rPh>
    <phoneticPr fontId="20"/>
  </si>
  <si>
    <t>宿泊費・食費</t>
    <rPh sb="4" eb="6">
      <t>ショクヒ</t>
    </rPh>
    <phoneticPr fontId="20"/>
  </si>
  <si>
    <t>東京都　体操協会</t>
    <rPh sb="0" eb="3">
      <t>トウキョウト</t>
    </rPh>
    <rPh sb="4" eb="8">
      <t>タイソウキョウカイ</t>
    </rPh>
    <phoneticPr fontId="20"/>
  </si>
  <si>
    <t>お祝い金</t>
    <rPh sb="1" eb="2">
      <t>イワ</t>
    </rPh>
    <rPh sb="3" eb="4">
      <t>キン</t>
    </rPh>
    <phoneticPr fontId="20"/>
  </si>
  <si>
    <t>フジプライズ　カップ</t>
  </si>
  <si>
    <t>普通預金利息</t>
    <rPh sb="0" eb="6">
      <t>フツウヨキンリソク</t>
    </rPh>
    <phoneticPr fontId="20"/>
  </si>
  <si>
    <t>持出金データ</t>
  </si>
  <si>
    <t>持出金　責任者</t>
  </si>
  <si>
    <t>売上</t>
  </si>
  <si>
    <t>支払い</t>
  </si>
  <si>
    <t>領収書</t>
  </si>
  <si>
    <t>学連　交通費一名分</t>
    <rPh sb="6" eb="8">
      <t>イチメイ</t>
    </rPh>
    <rPh sb="8" eb="9">
      <t>ブン</t>
    </rPh>
    <phoneticPr fontId="20"/>
  </si>
  <si>
    <t>○</t>
  </si>
  <si>
    <t>新交ＲＧ</t>
  </si>
  <si>
    <t>✔</t>
  </si>
  <si>
    <t>領収書代</t>
    <rPh sb="0" eb="3">
      <t>リョウシュウショ</t>
    </rPh>
    <rPh sb="3" eb="4">
      <t>ダイ</t>
    </rPh>
    <phoneticPr fontId="20"/>
  </si>
  <si>
    <t>事務消耗費</t>
    <rPh sb="0" eb="2">
      <t>ジム</t>
    </rPh>
    <rPh sb="2" eb="4">
      <t>ショウモウ</t>
    </rPh>
    <rPh sb="4" eb="5">
      <t>ヒ</t>
    </rPh>
    <phoneticPr fontId="20"/>
  </si>
  <si>
    <t>菓子折り代</t>
    <rPh sb="0" eb="3">
      <t>カシオ</t>
    </rPh>
    <rPh sb="4" eb="5">
      <t>ダイ</t>
    </rPh>
    <phoneticPr fontId="20"/>
  </si>
  <si>
    <t>郵送費</t>
    <rPh sb="0" eb="3">
      <t>ユウソウヒ</t>
    </rPh>
    <phoneticPr fontId="20"/>
  </si>
  <si>
    <t>紙コップ・電池代</t>
    <rPh sb="0" eb="1">
      <t>カミ</t>
    </rPh>
    <rPh sb="5" eb="7">
      <t>デンチ</t>
    </rPh>
    <rPh sb="7" eb="8">
      <t>ダイ</t>
    </rPh>
    <phoneticPr fontId="20"/>
  </si>
  <si>
    <t>救護　郵送費</t>
    <rPh sb="0" eb="2">
      <t>キュウゴ</t>
    </rPh>
    <rPh sb="3" eb="6">
      <t>ユウソウヒ</t>
    </rPh>
    <phoneticPr fontId="20"/>
  </si>
  <si>
    <t>接待費・食費</t>
    <rPh sb="0" eb="3">
      <t>セッタイヒ</t>
    </rPh>
    <rPh sb="4" eb="6">
      <t>ショクヒ</t>
    </rPh>
    <phoneticPr fontId="20"/>
  </si>
  <si>
    <t>救護費用</t>
    <rPh sb="0" eb="4">
      <t>キュウゴヒヨウ</t>
    </rPh>
    <phoneticPr fontId="20"/>
  </si>
  <si>
    <t>審判員　日当</t>
    <rPh sb="0" eb="3">
      <t>シンパンイン</t>
    </rPh>
    <rPh sb="4" eb="6">
      <t>ニットウ</t>
    </rPh>
    <phoneticPr fontId="20"/>
  </si>
  <si>
    <t>日当</t>
    <rPh sb="0" eb="2">
      <t>ニットウ</t>
    </rPh>
    <phoneticPr fontId="20"/>
  </si>
  <si>
    <t>審判員　交通費</t>
    <rPh sb="0" eb="3">
      <t>シンパンイン</t>
    </rPh>
    <rPh sb="4" eb="7">
      <t>コウツウヒ</t>
    </rPh>
    <phoneticPr fontId="20"/>
  </si>
  <si>
    <t>交通費</t>
    <rPh sb="0" eb="3">
      <t>コウツウヒ</t>
    </rPh>
    <phoneticPr fontId="20"/>
  </si>
  <si>
    <t>学連　日当</t>
    <rPh sb="3" eb="5">
      <t>ニットウ</t>
    </rPh>
    <phoneticPr fontId="20"/>
  </si>
  <si>
    <t>貴賓　日当</t>
    <rPh sb="0" eb="2">
      <t>キヒン</t>
    </rPh>
    <rPh sb="3" eb="5">
      <t>ニットウ</t>
    </rPh>
    <phoneticPr fontId="20"/>
  </si>
  <si>
    <t>余剰金戻し</t>
  </si>
  <si>
    <t>持出金</t>
  </si>
  <si>
    <t>持出金合計</t>
  </si>
  <si>
    <t>支払い合計</t>
  </si>
  <si>
    <t>余剰金</t>
  </si>
  <si>
    <t>-</t>
  </si>
  <si>
    <t>＝</t>
  </si>
  <si>
    <t>ズレ</t>
  </si>
  <si>
    <t>食費</t>
  </si>
  <si>
    <t>謝礼費</t>
  </si>
  <si>
    <t>大会前</t>
  </si>
  <si>
    <t>8日</t>
    <rPh sb="1" eb="2">
      <t>カ</t>
    </rPh>
    <phoneticPr fontId="20"/>
  </si>
  <si>
    <t>9日</t>
    <rPh sb="1" eb="2">
      <t>カ</t>
    </rPh>
    <phoneticPr fontId="20"/>
  </si>
  <si>
    <t>大会後</t>
  </si>
  <si>
    <t>名前</t>
  </si>
  <si>
    <t>交通</t>
  </si>
  <si>
    <t>郵送</t>
  </si>
  <si>
    <t>事務</t>
  </si>
  <si>
    <t>印刷</t>
  </si>
  <si>
    <t>日計</t>
  </si>
  <si>
    <t>会場</t>
  </si>
  <si>
    <t>関東</t>
  </si>
  <si>
    <t>平根　綾二</t>
  </si>
  <si>
    <t>鳥田　亜弥菜</t>
  </si>
  <si>
    <t>細井　亜梨沙</t>
  </si>
  <si>
    <t>山崎　愛理</t>
  </si>
  <si>
    <t>萬沢　優奈</t>
  </si>
  <si>
    <t>浦　逸稀</t>
  </si>
  <si>
    <t>遠藤　教仁</t>
  </si>
  <si>
    <t>大澤　和希</t>
    <rPh sb="0" eb="2">
      <t>オオサワ</t>
    </rPh>
    <rPh sb="3" eb="5">
      <t>カズキ</t>
    </rPh>
    <phoneticPr fontId="20"/>
  </si>
  <si>
    <t>矢田　瑛二</t>
  </si>
  <si>
    <t>長谷部　亘</t>
    <rPh sb="0" eb="3">
      <t>ハセベ</t>
    </rPh>
    <rPh sb="4" eb="5">
      <t>ワタル</t>
    </rPh>
    <phoneticPr fontId="20"/>
  </si>
  <si>
    <t>長谷　勇希</t>
    <rPh sb="0" eb="2">
      <t>ハセ</t>
    </rPh>
    <rPh sb="3" eb="5">
      <t>ユウノゾミ</t>
    </rPh>
    <phoneticPr fontId="20"/>
  </si>
  <si>
    <t>菊地　詩乃</t>
  </si>
  <si>
    <t>大石　望友</t>
    <rPh sb="0" eb="2">
      <t>オオイシ</t>
    </rPh>
    <rPh sb="3" eb="5">
      <t>ノゾミトモ</t>
    </rPh>
    <phoneticPr fontId="20"/>
  </si>
  <si>
    <t>天野　仁平</t>
    <rPh sb="0" eb="2">
      <t>アマノ</t>
    </rPh>
    <rPh sb="3" eb="5">
      <t>ジンペイ</t>
    </rPh>
    <phoneticPr fontId="20"/>
  </si>
  <si>
    <t>仲里　月来</t>
    <rPh sb="0" eb="2">
      <t>ナカザト</t>
    </rPh>
    <rPh sb="3" eb="5">
      <t>ツキキ</t>
    </rPh>
    <phoneticPr fontId="20"/>
  </si>
  <si>
    <t>石川　美里</t>
    <rPh sb="0" eb="2">
      <t>イシカワ</t>
    </rPh>
    <rPh sb="3" eb="5">
      <t>ミサト</t>
    </rPh>
    <phoneticPr fontId="20"/>
  </si>
  <si>
    <t>山瀬　恵</t>
    <rPh sb="0" eb="2">
      <t>ヤマセ</t>
    </rPh>
    <rPh sb="3" eb="4">
      <t>メグミ</t>
    </rPh>
    <phoneticPr fontId="20"/>
  </si>
  <si>
    <t>赤木　和香</t>
    <rPh sb="0" eb="2">
      <t>アカギ</t>
    </rPh>
    <rPh sb="3" eb="5">
      <t>ノドカ</t>
    </rPh>
    <phoneticPr fontId="20"/>
  </si>
  <si>
    <t>小瀬川　初音</t>
    <rPh sb="0" eb="3">
      <t>コセガワ</t>
    </rPh>
    <rPh sb="4" eb="6">
      <t>ハツネ</t>
    </rPh>
    <phoneticPr fontId="20"/>
  </si>
  <si>
    <t>学連経費</t>
  </si>
  <si>
    <t>貴賓</t>
  </si>
  <si>
    <t>清水　紀人</t>
    <rPh sb="0" eb="2">
      <t>シミズ</t>
    </rPh>
    <rPh sb="3" eb="5">
      <t>ノリヒト</t>
    </rPh>
    <phoneticPr fontId="20"/>
  </si>
  <si>
    <t>長谷川　洋子</t>
  </si>
  <si>
    <t>救</t>
  </si>
  <si>
    <t>本城　美波</t>
    <rPh sb="0" eb="2">
      <t>ホンジョウ</t>
    </rPh>
    <rPh sb="3" eb="5">
      <t>ミナ</t>
    </rPh>
    <phoneticPr fontId="20"/>
  </si>
  <si>
    <t>内之倉　真大</t>
  </si>
  <si>
    <t>女子審判</t>
  </si>
  <si>
    <t>佐藤　なつみ</t>
    <rPh sb="0" eb="2">
      <t>サトウ</t>
    </rPh>
    <phoneticPr fontId="20"/>
  </si>
  <si>
    <t>伊豆島　知佳</t>
    <rPh sb="0" eb="3">
      <t>イズシマ</t>
    </rPh>
    <rPh sb="4" eb="6">
      <t>チカ</t>
    </rPh>
    <phoneticPr fontId="20"/>
  </si>
  <si>
    <t>小計</t>
  </si>
  <si>
    <t>領収書回収済み</t>
  </si>
  <si>
    <t>領収書待ち</t>
  </si>
  <si>
    <t>偽造予定</t>
  </si>
  <si>
    <t>日当未提出</t>
  </si>
  <si>
    <t>通帳・領収書まとめ</t>
  </si>
  <si>
    <t>記入者</t>
  </si>
  <si>
    <t>引き出し金額</t>
  </si>
  <si>
    <t>預け入れ金額</t>
  </si>
  <si>
    <t>日本体育大学（交流）</t>
    <rPh sb="7" eb="9">
      <t>コウリュウ</t>
    </rPh>
    <phoneticPr fontId="20"/>
  </si>
  <si>
    <t>新交RG</t>
  </si>
  <si>
    <t>日本体育大学（新人）</t>
    <rPh sb="7" eb="9">
      <t>シンジン</t>
    </rPh>
    <phoneticPr fontId="20"/>
  </si>
  <si>
    <t>国士舘大学（交流）</t>
    <rPh sb="6" eb="8">
      <t>コウリュウ</t>
    </rPh>
    <phoneticPr fontId="20"/>
  </si>
  <si>
    <t>国士舘大学（新人）</t>
    <rPh sb="6" eb="8">
      <t>シンジン</t>
    </rPh>
    <phoneticPr fontId="20"/>
  </si>
  <si>
    <t>日本女子体育大学（交流）</t>
    <rPh sb="9" eb="11">
      <t>コウリュウ</t>
    </rPh>
    <phoneticPr fontId="20"/>
  </si>
  <si>
    <t>日本女子体育大学（新人）</t>
    <rPh sb="9" eb="11">
      <t>シンジン</t>
    </rPh>
    <phoneticPr fontId="20"/>
  </si>
  <si>
    <t>流通経済大学（交流）</t>
    <rPh sb="0" eb="4">
      <t>リュウツウケイザイ</t>
    </rPh>
    <rPh sb="4" eb="6">
      <t>ダイガク</t>
    </rPh>
    <rPh sb="7" eb="9">
      <t>コウリュウ</t>
    </rPh>
    <phoneticPr fontId="20"/>
  </si>
  <si>
    <t>流通経済大学（新人）</t>
    <rPh sb="0" eb="4">
      <t>リュウツウケイザイ</t>
    </rPh>
    <rPh sb="4" eb="6">
      <t>ダイガク</t>
    </rPh>
    <rPh sb="7" eb="9">
      <t>シンジン</t>
    </rPh>
    <phoneticPr fontId="20"/>
  </si>
  <si>
    <t>一般会計援助金</t>
  </si>
  <si>
    <t>事務消耗（領収証代）</t>
  </si>
  <si>
    <t>〇</t>
  </si>
  <si>
    <t>事務消耗費（紙コップ・電池）</t>
    <rPh sb="6" eb="7">
      <t>カミ</t>
    </rPh>
    <rPh sb="11" eb="13">
      <t>デンチ</t>
    </rPh>
    <phoneticPr fontId="20"/>
  </si>
  <si>
    <t>京王観光　保険　郵送費</t>
    <rPh sb="0" eb="4">
      <t>ケイオウカンコウ</t>
    </rPh>
    <rPh sb="5" eb="7">
      <t>ホケン</t>
    </rPh>
    <rPh sb="8" eb="11">
      <t>ユウソウヒ</t>
    </rPh>
    <phoneticPr fontId="20"/>
  </si>
  <si>
    <t>ヤマト運輸</t>
    <rPh sb="3" eb="5">
      <t>ウンユ</t>
    </rPh>
    <phoneticPr fontId="20"/>
  </si>
  <si>
    <t>救護費用</t>
  </si>
  <si>
    <t>学連　交通費</t>
  </si>
  <si>
    <t>審判　交通費</t>
    <rPh sb="0" eb="2">
      <t>シンパン</t>
    </rPh>
    <phoneticPr fontId="20"/>
  </si>
  <si>
    <t>菓子折り</t>
  </si>
  <si>
    <t>学連　食費</t>
    <rPh sb="0" eb="2">
      <t>ガクレン</t>
    </rPh>
    <rPh sb="3" eb="5">
      <t>ショクヒ</t>
    </rPh>
    <phoneticPr fontId="20"/>
  </si>
  <si>
    <t>京王観光　食費</t>
    <rPh sb="0" eb="4">
      <t>ケイオウカンコウ</t>
    </rPh>
    <rPh sb="5" eb="7">
      <t>ショクヒ</t>
    </rPh>
    <phoneticPr fontId="20"/>
  </si>
  <si>
    <t>学連 謝礼費</t>
  </si>
  <si>
    <t>貴賓・審判　日当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</si>
</sst>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[$-411]#,##0;[Red][$-411]&quot;-&quot;#,##0"/>
    <numFmt numFmtId="177" formatCode="[&lt;=0][$-30411]ggge&quot;年&quot;m&quot;月&quot;d&quot;日&quot;;@"/>
    <numFmt numFmtId="178" formatCode="0&quot; &quot;;&quot;(&quot;0&quot;)&quot;"/>
    <numFmt numFmtId="179" formatCode="[$-411]mm&quot;月&quot;dd&quot;日&quot;"/>
    <numFmt numFmtId="180" formatCode="0&quot; &quot;;[Red]&quot;(&quot;0&quot;)&quot;"/>
    <numFmt numFmtId="181" formatCode="[$-411]yyyy/mm/dd"/>
    <numFmt numFmtId="182" formatCode="0&quot; &quot;"/>
    <numFmt numFmtId="183" formatCode="0&quot; &quot;;[Red]&quot;-&quot;0&quot; &quot;"/>
    <numFmt numFmtId="184" formatCode="[$-30411]ggge&quot;年&quot;m&quot;月&quot;d&quot;日&quot;"/>
    <numFmt numFmtId="185" formatCode="[$￥-411]#,##0;[Red]&quot;-&quot;[$￥-411]#,##0"/>
  </numFmts>
  <fonts count="40"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1"/>
      <charset val="128"/>
    </font>
    <font>
      <b/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i/>
      <sz val="10"/>
      <color rgb="FF80808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b/>
      <i/>
      <sz val="16"/>
      <color rgb="FF000000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99660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b/>
      <i/>
      <u/>
      <sz val="11"/>
      <color rgb="FF000000"/>
      <name val="ＭＳ Ｐ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4"/>
      <color rgb="FF000000"/>
      <name val="ＭＳ Ｐ明朝"/>
      <family val="1"/>
      <charset val="128"/>
    </font>
    <font>
      <b/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color rgb="FF00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b/>
      <sz val="11"/>
      <color rgb="FF000000"/>
      <name val="ＭＳ ゴシック1"/>
      <charset val="128"/>
    </font>
    <font>
      <b/>
      <sz val="10"/>
      <color rgb="FF000000"/>
      <name val="ＭＳ ゴシック1"/>
      <charset val="128"/>
    </font>
    <font>
      <sz val="8"/>
      <color rgb="FF000000"/>
      <name val="ＭＳ ゴシック"/>
      <family val="3"/>
      <charset val="128"/>
    </font>
    <font>
      <b/>
      <sz val="9"/>
      <color rgb="FF000000"/>
      <name val="ＭＳ ゴシック1"/>
      <charset val="128"/>
    </font>
    <font>
      <sz val="6"/>
      <name val="ＭＳ Ｐゴシック"/>
      <family val="3"/>
      <charset val="128"/>
    </font>
    <font>
      <b/>
      <sz val="14"/>
      <color rgb="FFFF0000"/>
      <name val="ＭＳ Ｐゴシック1"/>
      <charset val="128"/>
    </font>
    <font>
      <sz val="12"/>
      <color rgb="FF00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000000"/>
      <name val="ＭＳ Ｐゴシック1"/>
      <charset val="128"/>
    </font>
    <font>
      <b/>
      <sz val="7"/>
      <color rgb="FF000000"/>
      <name val="ＭＳ Ｐゴシック1"/>
      <charset val="128"/>
    </font>
    <font>
      <b/>
      <sz val="10"/>
      <color rgb="FF000000"/>
      <name val="ＭＳ Ｐゴシック1"/>
      <charset val="128"/>
    </font>
    <font>
      <b/>
      <sz val="11"/>
      <color rgb="FF000000"/>
      <name val="ＭＳ Ｐゴシック"/>
      <family val="3"/>
      <charset val="128"/>
    </font>
    <font>
      <b/>
      <sz val="9"/>
      <color rgb="FF000000"/>
      <name val="ＭＳ Ｐゴシック1"/>
      <charset val="128"/>
    </font>
    <font>
      <sz val="11"/>
      <color rgb="FFFF0000"/>
      <name val="ＭＳ Ｐゴシック"/>
      <family val="3"/>
      <charset val="128"/>
    </font>
    <font>
      <b/>
      <sz val="13"/>
      <color rgb="FF000000"/>
      <name val="ＭＳ Ｐゴシック1"/>
      <charset val="128"/>
    </font>
    <font>
      <b/>
      <sz val="11"/>
      <color rgb="FFFF0000"/>
      <name val="ＭＳ Ｐゴシック1"/>
      <charset val="128"/>
    </font>
    <font>
      <sz val="10"/>
      <color rgb="FF000000"/>
      <name val="ＭＳ Ｐゴシック1"/>
      <charset val="128"/>
    </font>
    <font>
      <sz val="10"/>
      <color rgb="FF000000"/>
      <name val="ＭＳ 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DEADA"/>
        <bgColor rgb="FFFDEADA"/>
      </patternFill>
    </fill>
    <fill>
      <patternFill patternType="solid">
        <fgColor rgb="FFC00000"/>
        <bgColor rgb="FFC00000"/>
      </patternFill>
    </fill>
    <fill>
      <patternFill patternType="solid">
        <fgColor rgb="FFDCE6F2"/>
        <bgColor rgb="FFDCE6F2"/>
      </patternFill>
    </fill>
    <fill>
      <patternFill patternType="solid">
        <fgColor rgb="FFF79646"/>
        <bgColor rgb="FFF79646"/>
      </patternFill>
    </fill>
    <fill>
      <patternFill patternType="solid">
        <fgColor rgb="FF4BACC6"/>
        <bgColor rgb="FF4BACC6"/>
      </patternFill>
    </fill>
    <fill>
      <patternFill patternType="solid">
        <fgColor rgb="FF8064A2"/>
        <bgColor rgb="FF8064A2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5">
    <xf numFmtId="0" fontId="0" fillId="0" borderId="0">
      <alignment vertical="center"/>
    </xf>
    <xf numFmtId="176" fontId="1" fillId="0" borderId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8" fillId="7" borderId="0" applyNumberFormat="0" applyBorder="0" applyProtection="0">
      <alignment vertical="center"/>
    </xf>
    <xf numFmtId="0" fontId="9" fillId="0" borderId="0" applyNumberFormat="0" applyBorder="0" applyProtection="0">
      <alignment horizontal="center"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9" fillId="0" borderId="0" applyNumberFormat="0" applyBorder="0" applyProtection="0">
      <alignment horizontal="center" vertical="center" textRotation="90"/>
    </xf>
    <xf numFmtId="0" fontId="13" fillId="8" borderId="0" applyNumberFormat="0" applyBorder="0" applyProtection="0">
      <alignment vertical="center"/>
    </xf>
    <xf numFmtId="0" fontId="14" fillId="8" borderId="1" applyNumberFormat="0" applyProtection="0">
      <alignment vertical="center"/>
    </xf>
    <xf numFmtId="0" fontId="15" fillId="0" borderId="0" applyNumberFormat="0" applyBorder="0" applyProtection="0">
      <alignment vertical="center"/>
    </xf>
    <xf numFmtId="185" fontId="15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5" fillId="0" borderId="0" applyNumberFormat="0" applyBorder="0" applyProtection="0">
      <alignment vertical="center"/>
    </xf>
  </cellStyleXfs>
  <cellXfs count="180">
    <xf numFmtId="0" fontId="0" fillId="0" borderId="0" xfId="0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9" fillId="0" borderId="0" xfId="0" applyFont="1">
      <alignment vertical="center"/>
    </xf>
    <xf numFmtId="3" fontId="19" fillId="0" borderId="0" xfId="0" applyNumberFormat="1" applyFont="1">
      <alignment vertical="center"/>
    </xf>
    <xf numFmtId="184" fontId="19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21" fillId="0" borderId="0" xfId="0" applyFont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right" vertical="center"/>
    </xf>
    <xf numFmtId="180" fontId="19" fillId="0" borderId="4" xfId="0" applyNumberFormat="1" applyFont="1" applyBorder="1" applyAlignment="1">
      <alignment horizontal="left" vertical="center"/>
    </xf>
    <xf numFmtId="0" fontId="22" fillId="0" borderId="5" xfId="2" applyFont="1" applyBorder="1" applyAlignment="1">
      <alignment horizontal="center" vertical="center"/>
    </xf>
    <xf numFmtId="3" fontId="19" fillId="0" borderId="4" xfId="0" applyNumberFormat="1" applyFont="1" applyBorder="1">
      <alignment vertical="center"/>
    </xf>
    <xf numFmtId="3" fontId="19" fillId="0" borderId="5" xfId="0" applyNumberFormat="1" applyFont="1" applyBorder="1">
      <alignment vertical="center"/>
    </xf>
    <xf numFmtId="3" fontId="19" fillId="0" borderId="4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180" fontId="24" fillId="0" borderId="4" xfId="0" applyNumberFormat="1" applyFont="1" applyBorder="1" applyAlignment="1">
      <alignment horizontal="left" vertical="center"/>
    </xf>
    <xf numFmtId="0" fontId="22" fillId="0" borderId="7" xfId="2" applyFont="1" applyBorder="1" applyAlignment="1">
      <alignment horizontal="center" vertical="center"/>
    </xf>
    <xf numFmtId="3" fontId="19" fillId="0" borderId="7" xfId="0" applyNumberFormat="1" applyFont="1" applyBorder="1">
      <alignment vertical="center"/>
    </xf>
    <xf numFmtId="3" fontId="19" fillId="0" borderId="8" xfId="0" applyNumberFormat="1" applyFont="1" applyBorder="1">
      <alignment vertical="center"/>
    </xf>
    <xf numFmtId="180" fontId="19" fillId="0" borderId="8" xfId="0" applyNumberFormat="1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80" fontId="19" fillId="0" borderId="5" xfId="0" applyNumberFormat="1" applyFont="1" applyBorder="1" applyAlignment="1">
      <alignment horizontal="left" vertical="center"/>
    </xf>
    <xf numFmtId="0" fontId="25" fillId="0" borderId="4" xfId="2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180" fontId="0" fillId="0" borderId="0" xfId="0" applyNumberFormat="1">
      <alignment vertical="center"/>
    </xf>
    <xf numFmtId="3" fontId="19" fillId="0" borderId="6" xfId="0" applyNumberFormat="1" applyFont="1" applyBorder="1">
      <alignment vertical="center"/>
    </xf>
    <xf numFmtId="180" fontId="19" fillId="0" borderId="6" xfId="0" applyNumberFormat="1" applyFont="1" applyBorder="1">
      <alignment vertical="center"/>
    </xf>
    <xf numFmtId="180" fontId="19" fillId="0" borderId="7" xfId="0" applyNumberFormat="1" applyFont="1" applyBorder="1">
      <alignment vertical="center"/>
    </xf>
    <xf numFmtId="0" fontId="22" fillId="0" borderId="9" xfId="2" applyFont="1" applyBorder="1" applyAlignment="1">
      <alignment horizontal="left" vertical="center"/>
    </xf>
    <xf numFmtId="3" fontId="16" fillId="0" borderId="9" xfId="0" applyNumberFormat="1" applyFont="1" applyBorder="1">
      <alignment vertical="center"/>
    </xf>
    <xf numFmtId="3" fontId="19" fillId="0" borderId="2" xfId="0" applyNumberFormat="1" applyFont="1" applyBorder="1">
      <alignment vertical="center"/>
    </xf>
    <xf numFmtId="0" fontId="22" fillId="0" borderId="0" xfId="2" applyFont="1" applyAlignment="1">
      <alignment horizontal="left" vertical="center"/>
    </xf>
    <xf numFmtId="3" fontId="16" fillId="0" borderId="0" xfId="0" applyNumberFormat="1" applyFont="1">
      <alignment vertical="center"/>
    </xf>
    <xf numFmtId="0" fontId="22" fillId="0" borderId="10" xfId="2" applyFont="1" applyBorder="1" applyAlignment="1">
      <alignment horizontal="left" vertical="center"/>
    </xf>
    <xf numFmtId="3" fontId="16" fillId="0" borderId="10" xfId="0" applyNumberFormat="1" applyFont="1" applyBorder="1">
      <alignment vertical="center"/>
    </xf>
    <xf numFmtId="3" fontId="0" fillId="0" borderId="0" xfId="0" applyNumberFormat="1">
      <alignment vertical="center"/>
    </xf>
    <xf numFmtId="0" fontId="2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>
      <alignment vertical="center"/>
    </xf>
    <xf numFmtId="0" fontId="19" fillId="0" borderId="0" xfId="0" applyFont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176" fontId="0" fillId="0" borderId="0" xfId="10" applyFont="1">
      <alignment vertical="center"/>
    </xf>
    <xf numFmtId="176" fontId="19" fillId="0" borderId="0" xfId="10" applyFont="1">
      <alignment vertical="center"/>
    </xf>
    <xf numFmtId="177" fontId="0" fillId="0" borderId="0" xfId="0" applyNumberFormat="1" applyAlignment="1">
      <alignment horizontal="center" vertical="center"/>
    </xf>
    <xf numFmtId="176" fontId="19" fillId="0" borderId="0" xfId="10" applyFont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176" fontId="28" fillId="0" borderId="12" xfId="10" applyFont="1" applyBorder="1" applyAlignment="1">
      <alignment horizontal="center" vertical="center"/>
    </xf>
    <xf numFmtId="176" fontId="28" fillId="0" borderId="11" xfId="1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181" fontId="28" fillId="0" borderId="11" xfId="0" applyNumberFormat="1" applyFont="1" applyBorder="1" applyAlignment="1">
      <alignment horizontal="left" vertical="center"/>
    </xf>
    <xf numFmtId="176" fontId="28" fillId="0" borderId="11" xfId="1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13" xfId="0" applyFont="1" applyBorder="1">
      <alignment vertical="center"/>
    </xf>
    <xf numFmtId="0" fontId="28" fillId="0" borderId="14" xfId="0" applyFont="1" applyBorder="1">
      <alignment vertical="center"/>
    </xf>
    <xf numFmtId="0" fontId="27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1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1" xfId="1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81" fontId="0" fillId="0" borderId="11" xfId="0" applyNumberFormat="1" applyBorder="1">
      <alignment vertical="center"/>
    </xf>
    <xf numFmtId="182" fontId="0" fillId="0" borderId="11" xfId="0" applyNumberFormat="1" applyBorder="1">
      <alignment vertical="center"/>
    </xf>
    <xf numFmtId="176" fontId="0" fillId="0" borderId="11" xfId="10" applyFont="1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176" fontId="0" fillId="0" borderId="14" xfId="10" applyFont="1" applyBorder="1">
      <alignment vertical="center"/>
    </xf>
    <xf numFmtId="0" fontId="0" fillId="0" borderId="14" xfId="0" applyBorder="1" applyAlignment="1">
      <alignment horizontal="center" vertical="center"/>
    </xf>
    <xf numFmtId="182" fontId="0" fillId="0" borderId="0" xfId="0" applyNumberFormat="1">
      <alignment vertical="center"/>
    </xf>
    <xf numFmtId="0" fontId="0" fillId="0" borderId="13" xfId="0" applyBorder="1" applyAlignment="1">
      <alignment horizontal="center" vertical="center"/>
    </xf>
    <xf numFmtId="181" fontId="0" fillId="0" borderId="16" xfId="0" applyNumberFormat="1" applyBorder="1">
      <alignment vertical="center"/>
    </xf>
    <xf numFmtId="181" fontId="0" fillId="0" borderId="13" xfId="0" applyNumberFormat="1" applyBorder="1">
      <alignment vertical="center"/>
    </xf>
    <xf numFmtId="176" fontId="0" fillId="0" borderId="17" xfId="1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8" xfId="1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82" fontId="0" fillId="0" borderId="19" xfId="0" applyNumberFormat="1" applyBorder="1" applyAlignment="1">
      <alignment horizontal="center" vertical="center"/>
    </xf>
    <xf numFmtId="176" fontId="0" fillId="0" borderId="14" xfId="10" applyFont="1" applyBorder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0" fontId="29" fillId="0" borderId="0" xfId="0" applyFont="1">
      <alignment vertical="center"/>
    </xf>
    <xf numFmtId="0" fontId="0" fillId="0" borderId="20" xfId="0" applyBorder="1" applyAlignment="1">
      <alignment horizontal="left" vertical="center"/>
    </xf>
    <xf numFmtId="183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1" xfId="10" applyFont="1" applyBorder="1" applyAlignment="1">
      <alignment horizontal="center" vertical="center"/>
    </xf>
    <xf numFmtId="0" fontId="30" fillId="0" borderId="0" xfId="0" applyFont="1">
      <alignment vertical="center"/>
    </xf>
    <xf numFmtId="178" fontId="30" fillId="0" borderId="11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30" fillId="0" borderId="11" xfId="0" applyFont="1" applyBorder="1">
      <alignment vertical="center"/>
    </xf>
    <xf numFmtId="0" fontId="30" fillId="0" borderId="13" xfId="0" applyFont="1" applyBorder="1" applyAlignment="1">
      <alignment horizontal="center" vertical="center"/>
    </xf>
    <xf numFmtId="178" fontId="30" fillId="0" borderId="13" xfId="0" applyNumberFormat="1" applyFont="1" applyBorder="1" applyAlignment="1">
      <alignment horizontal="center" vertical="center"/>
    </xf>
    <xf numFmtId="178" fontId="30" fillId="0" borderId="15" xfId="0" applyNumberFormat="1" applyFont="1" applyBorder="1" applyAlignment="1">
      <alignment horizontal="center" vertical="center"/>
    </xf>
    <xf numFmtId="178" fontId="30" fillId="0" borderId="12" xfId="0" applyNumberFormat="1" applyFont="1" applyBorder="1" applyAlignment="1">
      <alignment horizontal="center" vertical="center"/>
    </xf>
    <xf numFmtId="178" fontId="30" fillId="0" borderId="0" xfId="0" applyNumberFormat="1" applyFont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5" xfId="0" applyFont="1" applyBorder="1" applyAlignment="1">
      <alignment horizontal="left" vertical="center"/>
    </xf>
    <xf numFmtId="178" fontId="0" fillId="2" borderId="11" xfId="0" applyNumberFormat="1" applyFill="1" applyBorder="1">
      <alignment vertical="center"/>
    </xf>
    <xf numFmtId="178" fontId="0" fillId="0" borderId="11" xfId="0" applyNumberFormat="1" applyBorder="1">
      <alignment vertical="center"/>
    </xf>
    <xf numFmtId="178" fontId="30" fillId="0" borderId="11" xfId="0" applyNumberFormat="1" applyFont="1" applyBorder="1">
      <alignment vertical="center"/>
    </xf>
    <xf numFmtId="178" fontId="31" fillId="9" borderId="13" xfId="0" applyNumberFormat="1" applyFont="1" applyFill="1" applyBorder="1">
      <alignment vertical="center"/>
    </xf>
    <xf numFmtId="178" fontId="31" fillId="0" borderId="15" xfId="0" applyNumberFormat="1" applyFont="1" applyBorder="1">
      <alignment vertical="center"/>
    </xf>
    <xf numFmtId="178" fontId="31" fillId="9" borderId="11" xfId="0" applyNumberFormat="1" applyFont="1" applyFill="1" applyBorder="1">
      <alignment vertical="center"/>
    </xf>
    <xf numFmtId="0" fontId="30" fillId="0" borderId="21" xfId="0" applyFont="1" applyBorder="1" applyAlignment="1">
      <alignment horizontal="left" vertical="center"/>
    </xf>
    <xf numFmtId="0" fontId="32" fillId="0" borderId="15" xfId="0" applyFont="1" applyBorder="1" applyAlignment="1">
      <alignment horizontal="left" vertical="center"/>
    </xf>
    <xf numFmtId="0" fontId="30" fillId="0" borderId="15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0" fillId="10" borderId="11" xfId="0" applyFont="1" applyFill="1" applyBorder="1" applyAlignment="1">
      <alignment horizontal="left" vertical="center"/>
    </xf>
    <xf numFmtId="178" fontId="33" fillId="0" borderId="0" xfId="0" applyNumberFormat="1" applyFont="1" applyAlignment="1">
      <alignment horizontal="center" vertical="center"/>
    </xf>
    <xf numFmtId="178" fontId="31" fillId="9" borderId="0" xfId="0" applyNumberFormat="1" applyFont="1" applyFill="1">
      <alignment vertical="center"/>
    </xf>
    <xf numFmtId="0" fontId="30" fillId="0" borderId="22" xfId="0" applyFont="1" applyBorder="1">
      <alignment vertical="center"/>
    </xf>
    <xf numFmtId="178" fontId="33" fillId="0" borderId="11" xfId="0" applyNumberFormat="1" applyFont="1" applyBorder="1" applyAlignment="1">
      <alignment horizontal="center" vertical="center"/>
    </xf>
    <xf numFmtId="178" fontId="30" fillId="0" borderId="0" xfId="0" applyNumberFormat="1" applyFont="1">
      <alignment vertical="center"/>
    </xf>
    <xf numFmtId="178" fontId="34" fillId="0" borderId="0" xfId="0" applyNumberFormat="1" applyFont="1">
      <alignment vertical="center"/>
    </xf>
    <xf numFmtId="0" fontId="30" fillId="0" borderId="17" xfId="0" applyFont="1" applyBorder="1">
      <alignment vertical="center"/>
    </xf>
    <xf numFmtId="178" fontId="0" fillId="0" borderId="15" xfId="0" applyNumberFormat="1" applyBorder="1">
      <alignment vertical="center"/>
    </xf>
    <xf numFmtId="0" fontId="30" fillId="0" borderId="11" xfId="0" applyFont="1" applyBorder="1" applyAlignment="1">
      <alignment horizontal="left" vertical="center"/>
    </xf>
    <xf numFmtId="0" fontId="30" fillId="11" borderId="0" xfId="0" applyFont="1" applyFill="1" applyAlignment="1">
      <alignment horizontal="right" vertical="center"/>
    </xf>
    <xf numFmtId="178" fontId="30" fillId="11" borderId="0" xfId="0" applyNumberFormat="1" applyFont="1" applyFill="1">
      <alignment vertical="center"/>
    </xf>
    <xf numFmtId="0" fontId="30" fillId="12" borderId="0" xfId="0" applyFont="1" applyFill="1">
      <alignment vertical="center"/>
    </xf>
    <xf numFmtId="178" fontId="35" fillId="0" borderId="0" xfId="0" applyNumberFormat="1" applyFont="1">
      <alignment vertical="center"/>
    </xf>
    <xf numFmtId="0" fontId="30" fillId="13" borderId="0" xfId="0" applyFont="1" applyFill="1">
      <alignment vertical="center"/>
    </xf>
    <xf numFmtId="0" fontId="30" fillId="14" borderId="0" xfId="0" applyFont="1" applyFill="1">
      <alignment vertical="center"/>
    </xf>
    <xf numFmtId="178" fontId="30" fillId="0" borderId="11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7" fillId="0" borderId="0" xfId="0" applyFont="1">
      <alignment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left" vertical="center" shrinkToFit="1"/>
    </xf>
    <xf numFmtId="0" fontId="39" fillId="0" borderId="11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 shrinkToFit="1"/>
    </xf>
    <xf numFmtId="0" fontId="39" fillId="0" borderId="15" xfId="0" applyFont="1" applyBorder="1" applyAlignment="1">
      <alignment horizontal="center" vertical="center"/>
    </xf>
    <xf numFmtId="0" fontId="39" fillId="0" borderId="11" xfId="0" applyFont="1" applyBorder="1" applyAlignment="1">
      <alignment horizontal="left" vertical="center" shrinkToFit="1"/>
    </xf>
    <xf numFmtId="0" fontId="19" fillId="0" borderId="16" xfId="0" applyFont="1" applyBorder="1" applyAlignment="1">
      <alignment horizontal="right" vertical="center"/>
    </xf>
    <xf numFmtId="0" fontId="28" fillId="0" borderId="15" xfId="0" applyFont="1" applyBorder="1">
      <alignment vertical="center"/>
    </xf>
    <xf numFmtId="0" fontId="28" fillId="0" borderId="11" xfId="0" applyFont="1" applyBorder="1" applyAlignment="1">
      <alignment vertical="center" shrinkToFit="1"/>
    </xf>
    <xf numFmtId="0" fontId="28" fillId="0" borderId="11" xfId="0" applyFont="1" applyBorder="1" applyAlignment="1">
      <alignment horizontal="left" vertical="center" shrinkToFit="1"/>
    </xf>
    <xf numFmtId="0" fontId="19" fillId="0" borderId="13" xfId="0" applyFont="1" applyBorder="1" applyAlignment="1">
      <alignment horizontal="right" vertical="center"/>
    </xf>
    <xf numFmtId="176" fontId="19" fillId="0" borderId="13" xfId="1" applyFont="1" applyBorder="1" applyAlignment="1">
      <alignment horizontal="right" vertical="center"/>
    </xf>
    <xf numFmtId="176" fontId="28" fillId="0" borderId="14" xfId="10" applyFont="1" applyBorder="1">
      <alignment vertical="center"/>
    </xf>
    <xf numFmtId="179" fontId="28" fillId="15" borderId="11" xfId="0" applyNumberFormat="1" applyFont="1" applyFill="1" applyBorder="1">
      <alignment vertical="center"/>
    </xf>
    <xf numFmtId="176" fontId="19" fillId="15" borderId="11" xfId="1" applyFont="1" applyFill="1" applyBorder="1" applyAlignment="1">
      <alignment horizontal="right" vertical="center"/>
    </xf>
    <xf numFmtId="176" fontId="28" fillId="15" borderId="14" xfId="1" applyFont="1" applyFill="1" applyBorder="1" applyAlignment="1">
      <alignment horizontal="right" vertical="center"/>
    </xf>
    <xf numFmtId="0" fontId="28" fillId="15" borderId="11" xfId="0" applyFont="1" applyFill="1" applyBorder="1" applyAlignment="1">
      <alignment horizontal="left" vertical="center"/>
    </xf>
    <xf numFmtId="0" fontId="28" fillId="15" borderId="11" xfId="0" applyFont="1" applyFill="1" applyBorder="1" applyAlignment="1">
      <alignment horizontal="center" vertical="center"/>
    </xf>
    <xf numFmtId="0" fontId="28" fillId="15" borderId="11" xfId="0" applyFont="1" applyFill="1" applyBorder="1" applyAlignment="1">
      <alignment horizontal="center" vertical="center" shrinkToFit="1"/>
    </xf>
    <xf numFmtId="0" fontId="28" fillId="15" borderId="11" xfId="0" applyFont="1" applyFill="1" applyBorder="1" applyAlignment="1">
      <alignment horizontal="left" vertical="center" shrinkToFit="1"/>
    </xf>
    <xf numFmtId="176" fontId="19" fillId="16" borderId="11" xfId="1" applyFont="1" applyFill="1" applyBorder="1" applyAlignment="1">
      <alignment horizontal="right" vertical="center"/>
    </xf>
    <xf numFmtId="176" fontId="28" fillId="16" borderId="11" xfId="1" applyFont="1" applyFill="1" applyBorder="1" applyAlignment="1">
      <alignment horizontal="right" vertical="center"/>
    </xf>
    <xf numFmtId="0" fontId="28" fillId="16" borderId="11" xfId="0" applyFont="1" applyFill="1" applyBorder="1" applyAlignment="1">
      <alignment horizontal="left" vertical="center" shrinkToFit="1"/>
    </xf>
    <xf numFmtId="176" fontId="28" fillId="15" borderId="11" xfId="1" applyFont="1" applyFill="1" applyBorder="1" applyAlignment="1">
      <alignment horizontal="right" vertical="center"/>
    </xf>
    <xf numFmtId="179" fontId="28" fillId="0" borderId="11" xfId="0" applyNumberFormat="1" applyFont="1" applyBorder="1">
      <alignment vertical="center"/>
    </xf>
    <xf numFmtId="176" fontId="28" fillId="0" borderId="11" xfId="1" applyFont="1" applyBorder="1">
      <alignment vertical="center"/>
    </xf>
    <xf numFmtId="181" fontId="28" fillId="0" borderId="11" xfId="0" applyNumberFormat="1" applyFont="1" applyBorder="1">
      <alignment vertical="center"/>
    </xf>
    <xf numFmtId="0" fontId="28" fillId="16" borderId="11" xfId="0" applyFont="1" applyFill="1" applyBorder="1" applyAlignment="1">
      <alignment horizontal="center" vertical="center"/>
    </xf>
    <xf numFmtId="176" fontId="28" fillId="0" borderId="11" xfId="1" applyFont="1" applyBorder="1" applyAlignment="1">
      <alignment horizontal="right" vertical="center"/>
    </xf>
    <xf numFmtId="0" fontId="28" fillId="0" borderId="11" xfId="0" applyFont="1" applyBorder="1" applyAlignment="1">
      <alignment horizontal="left" vertical="center"/>
    </xf>
    <xf numFmtId="3" fontId="28" fillId="15" borderId="11" xfId="0" applyNumberFormat="1" applyFont="1" applyFill="1" applyBorder="1" applyAlignment="1">
      <alignment horizontal="right" vertical="center"/>
    </xf>
    <xf numFmtId="179" fontId="19" fillId="15" borderId="11" xfId="0" applyNumberFormat="1" applyFont="1" applyFill="1" applyBorder="1">
      <alignment vertical="center"/>
    </xf>
    <xf numFmtId="181" fontId="28" fillId="0" borderId="14" xfId="0" applyNumberFormat="1" applyFont="1" applyBorder="1" applyAlignment="1">
      <alignment horizontal="left" vertical="center"/>
    </xf>
    <xf numFmtId="181" fontId="19" fillId="0" borderId="14" xfId="0" applyNumberFormat="1" applyFont="1" applyBorder="1">
      <alignment vertical="center"/>
    </xf>
    <xf numFmtId="3" fontId="28" fillId="16" borderId="11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0" fillId="15" borderId="11" xfId="0" applyFill="1" applyBorder="1">
      <alignment vertical="center"/>
    </xf>
  </cellXfs>
  <cellStyles count="25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Comma [0]" xfId="10"/>
    <cellStyle name="Footnote" xfId="11"/>
    <cellStyle name="Good" xfId="12"/>
    <cellStyle name="Heading" xfId="13"/>
    <cellStyle name="Heading (user)" xfId="14"/>
    <cellStyle name="Heading 1" xfId="15"/>
    <cellStyle name="Heading 2" xfId="16"/>
    <cellStyle name="Heading1" xfId="17"/>
    <cellStyle name="Neutral" xfId="18"/>
    <cellStyle name="Note" xfId="19"/>
    <cellStyle name="Result" xfId="20"/>
    <cellStyle name="Result2" xfId="21"/>
    <cellStyle name="Status" xfId="22"/>
    <cellStyle name="Text" xfId="23"/>
    <cellStyle name="Warning" xfId="24"/>
    <cellStyle name="桁区切り 2" xfId="1"/>
    <cellStyle name="標準" xfId="0" builtinId="0" customBuiltin="1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sqref="A1:E1"/>
    </sheetView>
  </sheetViews>
  <sheetFormatPr defaultRowHeight="14.15"/>
  <cols>
    <col min="1" max="1" width="18.36328125" customWidth="1"/>
    <col min="2" max="3" width="17" style="45" customWidth="1"/>
    <col min="4" max="4" width="27.26953125" style="46" customWidth="1"/>
    <col min="5" max="5" width="29" style="45" customWidth="1"/>
    <col min="6" max="6" width="8.7265625" customWidth="1"/>
    <col min="7" max="7" width="9.81640625" customWidth="1"/>
    <col min="8" max="8" width="8.7265625" customWidth="1"/>
  </cols>
  <sheetData>
    <row r="1" spans="1:12" ht="26.15" customHeight="1">
      <c r="A1" s="47" t="s">
        <v>0</v>
      </c>
      <c r="B1" s="47"/>
      <c r="C1" s="47"/>
      <c r="D1" s="47"/>
      <c r="E1" s="47"/>
      <c r="F1" s="1"/>
      <c r="G1" s="48"/>
      <c r="H1" s="48"/>
      <c r="I1" s="48"/>
      <c r="J1" s="48"/>
      <c r="K1" s="48"/>
      <c r="L1" s="48"/>
    </row>
    <row r="2" spans="1:12" ht="26.15" customHeight="1">
      <c r="A2" s="47" t="s">
        <v>1</v>
      </c>
      <c r="B2" s="47"/>
      <c r="C2" s="47"/>
      <c r="D2" s="47"/>
      <c r="E2" s="47"/>
      <c r="F2" s="1"/>
      <c r="G2" s="48"/>
      <c r="H2" s="48"/>
      <c r="I2" s="48"/>
      <c r="J2" s="48"/>
      <c r="K2" s="48"/>
      <c r="L2" s="48"/>
    </row>
    <row r="3" spans="1:12" ht="7.5" customHeight="1">
      <c r="A3" s="2"/>
      <c r="B3" s="3"/>
      <c r="C3" s="3"/>
      <c r="D3" s="2"/>
      <c r="E3" s="3"/>
      <c r="G3" s="4"/>
      <c r="H3" s="4"/>
      <c r="I3" s="4"/>
      <c r="J3" s="4"/>
      <c r="K3" s="4"/>
      <c r="L3" s="4"/>
    </row>
    <row r="4" spans="1:12" ht="13">
      <c r="A4" s="49" t="s">
        <v>2</v>
      </c>
      <c r="B4" s="49"/>
      <c r="C4" s="49"/>
      <c r="D4" s="49"/>
      <c r="E4" s="49"/>
    </row>
    <row r="5" spans="1:12" ht="13" hidden="1">
      <c r="A5" s="5"/>
      <c r="B5" s="6"/>
      <c r="C5" s="6"/>
      <c r="D5" s="48"/>
      <c r="E5" s="48"/>
    </row>
    <row r="6" spans="1:12" ht="15" customHeight="1">
      <c r="A6" s="5"/>
      <c r="B6" s="6"/>
      <c r="C6" s="6"/>
      <c r="D6"/>
      <c r="E6" s="7">
        <v>43528</v>
      </c>
      <c r="F6" s="8"/>
    </row>
    <row r="7" spans="1:12" ht="13" thickBot="1">
      <c r="A7" s="9" t="s">
        <v>3</v>
      </c>
      <c r="B7" s="6"/>
      <c r="C7" s="6"/>
      <c r="D7" s="5"/>
      <c r="E7" s="7"/>
    </row>
    <row r="8" spans="1:12" ht="16.5" customHeight="1">
      <c r="A8" s="10" t="s">
        <v>4</v>
      </c>
      <c r="B8" s="11" t="s">
        <v>5</v>
      </c>
      <c r="C8" s="12" t="s">
        <v>6</v>
      </c>
      <c r="D8" s="13" t="s">
        <v>7</v>
      </c>
      <c r="E8" s="11" t="s">
        <v>8</v>
      </c>
    </row>
    <row r="9" spans="1:12" ht="16.5" customHeight="1">
      <c r="A9" s="14" t="s">
        <v>9</v>
      </c>
      <c r="B9" s="50">
        <v>940000</v>
      </c>
      <c r="C9" s="15">
        <f>まとめ_!C19-7000-74400</f>
        <v>954600</v>
      </c>
      <c r="D9" s="16" t="s">
        <v>9</v>
      </c>
      <c r="E9" s="50">
        <v>940000</v>
      </c>
    </row>
    <row r="10" spans="1:12" ht="16.5" customHeight="1">
      <c r="A10" s="17" t="s">
        <v>10</v>
      </c>
      <c r="B10" s="50"/>
      <c r="C10" s="18">
        <v>0</v>
      </c>
      <c r="D10" s="16" t="s">
        <v>10</v>
      </c>
      <c r="E10" s="50"/>
    </row>
    <row r="11" spans="1:12" ht="16.5" customHeight="1">
      <c r="A11" s="17" t="s">
        <v>11</v>
      </c>
      <c r="B11" s="50"/>
      <c r="C11" s="18">
        <f>7000</f>
        <v>7000</v>
      </c>
      <c r="D11" s="16" t="s">
        <v>11</v>
      </c>
      <c r="E11" s="50"/>
    </row>
    <row r="12" spans="1:12" ht="16.5" customHeight="1">
      <c r="A12" s="17" t="s">
        <v>12</v>
      </c>
      <c r="B12" s="18">
        <v>60000</v>
      </c>
      <c r="C12" s="19">
        <f>11400+16800+12000+4800+3000+1800+4800+9000+6000+4800</f>
        <v>74400</v>
      </c>
      <c r="D12" s="16" t="s">
        <v>12</v>
      </c>
      <c r="E12" s="18">
        <v>50000</v>
      </c>
    </row>
    <row r="13" spans="1:12" ht="16.5" customHeight="1">
      <c r="A13" s="17" t="s">
        <v>13</v>
      </c>
      <c r="B13" s="20" t="s">
        <v>14</v>
      </c>
      <c r="C13" s="21" t="s">
        <v>14</v>
      </c>
      <c r="D13" s="16" t="s">
        <v>15</v>
      </c>
      <c r="E13" s="18">
        <v>46000</v>
      </c>
    </row>
    <row r="14" spans="1:12" ht="16.5" customHeight="1">
      <c r="A14" s="17" t="s">
        <v>16</v>
      </c>
      <c r="B14" s="18">
        <v>0</v>
      </c>
      <c r="C14" s="18">
        <v>0</v>
      </c>
      <c r="D14" s="16"/>
      <c r="E14" s="18">
        <v>0</v>
      </c>
    </row>
    <row r="15" spans="1:12" ht="16.5" customHeight="1">
      <c r="A15" s="22" t="s">
        <v>17</v>
      </c>
      <c r="B15" s="18">
        <v>0</v>
      </c>
      <c r="C15" s="18">
        <v>0</v>
      </c>
      <c r="D15" s="16"/>
      <c r="E15" s="18">
        <v>0</v>
      </c>
    </row>
    <row r="16" spans="1:12" ht="16.5" customHeight="1">
      <c r="A16" s="22" t="s">
        <v>18</v>
      </c>
      <c r="B16" s="18">
        <v>0</v>
      </c>
      <c r="C16" s="18">
        <v>5000</v>
      </c>
      <c r="D16" s="16" t="s">
        <v>19</v>
      </c>
      <c r="E16" s="18">
        <v>0</v>
      </c>
    </row>
    <row r="17" spans="1:5" ht="16.5" customHeight="1">
      <c r="A17" s="22" t="s">
        <v>20</v>
      </c>
      <c r="B17" s="18">
        <v>0</v>
      </c>
      <c r="C17" s="18">
        <v>0</v>
      </c>
      <c r="D17" s="16"/>
      <c r="E17" s="18">
        <v>0</v>
      </c>
    </row>
    <row r="18" spans="1:5" ht="16.5" customHeight="1">
      <c r="A18" s="22" t="s">
        <v>21</v>
      </c>
      <c r="B18" s="18">
        <v>0</v>
      </c>
      <c r="C18" s="18">
        <f>まとめ_!C21</f>
        <v>41000</v>
      </c>
      <c r="D18" s="16" t="s">
        <v>22</v>
      </c>
      <c r="E18" s="18">
        <v>0</v>
      </c>
    </row>
    <row r="19" spans="1:5" ht="16.5" customHeight="1">
      <c r="A19" s="23" t="s">
        <v>23</v>
      </c>
      <c r="B19" s="18">
        <v>0</v>
      </c>
      <c r="C19" s="18">
        <v>0</v>
      </c>
      <c r="D19" s="24"/>
      <c r="E19" s="18">
        <v>0</v>
      </c>
    </row>
    <row r="20" spans="1:5" ht="16.5" customHeight="1">
      <c r="A20" s="14" t="s">
        <v>24</v>
      </c>
      <c r="B20" s="18">
        <v>0</v>
      </c>
      <c r="C20" s="18">
        <v>1</v>
      </c>
      <c r="D20" s="16" t="s">
        <v>25</v>
      </c>
      <c r="E20" s="18">
        <v>0</v>
      </c>
    </row>
    <row r="21" spans="1:5" ht="16.5" customHeight="1" thickBot="1">
      <c r="A21" s="25" t="s">
        <v>26</v>
      </c>
      <c r="B21" s="26">
        <f>SUM(B9:B20)</f>
        <v>1000000</v>
      </c>
      <c r="C21" s="27">
        <f>SUM(C9:C20)</f>
        <v>1082001</v>
      </c>
      <c r="D21" s="28"/>
      <c r="E21" s="26">
        <f>SUM(E9:E20)</f>
        <v>1036000</v>
      </c>
    </row>
    <row r="22" spans="1:5" ht="15" customHeight="1">
      <c r="A22" s="29"/>
      <c r="B22" s="6"/>
      <c r="C22" s="6"/>
      <c r="D22" s="5"/>
      <c r="E22" s="6"/>
    </row>
    <row r="23" spans="1:5" ht="15" customHeight="1">
      <c r="A23" s="5"/>
      <c r="B23" s="6"/>
      <c r="C23" s="6"/>
      <c r="D23" s="5"/>
      <c r="E23" s="6"/>
    </row>
    <row r="24" spans="1:5" ht="13" thickBot="1">
      <c r="A24" s="9" t="s">
        <v>27</v>
      </c>
      <c r="B24" s="6"/>
      <c r="C24" s="6"/>
      <c r="D24" s="5"/>
      <c r="E24" s="6"/>
    </row>
    <row r="25" spans="1:5" ht="16.5" customHeight="1">
      <c r="A25" s="10" t="s">
        <v>4</v>
      </c>
      <c r="B25" s="11" t="s">
        <v>5</v>
      </c>
      <c r="C25" s="11" t="s">
        <v>6</v>
      </c>
      <c r="D25" s="30" t="s">
        <v>7</v>
      </c>
      <c r="E25" s="11" t="s">
        <v>8</v>
      </c>
    </row>
    <row r="26" spans="1:5" ht="16.5" customHeight="1">
      <c r="A26" s="17" t="s">
        <v>28</v>
      </c>
      <c r="B26" s="19">
        <v>50000</v>
      </c>
      <c r="C26" s="19">
        <f>まとめ_!B28</f>
        <v>0</v>
      </c>
      <c r="D26" s="31" t="s">
        <v>29</v>
      </c>
      <c r="E26" s="19">
        <v>50000</v>
      </c>
    </row>
    <row r="27" spans="1:5" ht="16.5" customHeight="1">
      <c r="A27" s="14" t="s">
        <v>30</v>
      </c>
      <c r="B27" s="18">
        <v>0</v>
      </c>
      <c r="C27" s="18">
        <v>0</v>
      </c>
      <c r="D27" s="16" t="s">
        <v>31</v>
      </c>
      <c r="E27" s="18">
        <v>0</v>
      </c>
    </row>
    <row r="28" spans="1:5" ht="16.5" customHeight="1">
      <c r="A28" s="32" t="s">
        <v>32</v>
      </c>
      <c r="B28" s="18">
        <v>0</v>
      </c>
      <c r="C28" s="18">
        <v>0</v>
      </c>
      <c r="D28" s="16" t="s">
        <v>31</v>
      </c>
      <c r="E28" s="18">
        <v>0</v>
      </c>
    </row>
    <row r="29" spans="1:5" ht="16.5" customHeight="1">
      <c r="A29" s="14" t="s">
        <v>17</v>
      </c>
      <c r="B29" s="18">
        <v>0</v>
      </c>
      <c r="C29" s="18">
        <v>0</v>
      </c>
      <c r="D29" s="31" t="s">
        <v>31</v>
      </c>
      <c r="E29" s="18">
        <v>0</v>
      </c>
    </row>
    <row r="30" spans="1:5" ht="16.5" customHeight="1">
      <c r="A30" s="14" t="s">
        <v>33</v>
      </c>
      <c r="B30" s="18">
        <v>25000</v>
      </c>
      <c r="C30" s="18">
        <f>まとめ_!B31</f>
        <v>45597</v>
      </c>
      <c r="D30" s="16" t="s">
        <v>34</v>
      </c>
      <c r="E30" s="18">
        <v>50000</v>
      </c>
    </row>
    <row r="31" spans="1:5" ht="16.5" customHeight="1">
      <c r="A31" s="32" t="s">
        <v>35</v>
      </c>
      <c r="B31" s="18">
        <v>10000</v>
      </c>
      <c r="C31" s="18">
        <f>まとめ_!B34</f>
        <v>1755</v>
      </c>
      <c r="D31" s="16" t="s">
        <v>36</v>
      </c>
      <c r="E31" s="18">
        <v>5000</v>
      </c>
    </row>
    <row r="32" spans="1:5" ht="16.5" customHeight="1">
      <c r="A32" s="14" t="s">
        <v>37</v>
      </c>
      <c r="B32" s="18">
        <v>5000</v>
      </c>
      <c r="C32" s="18">
        <f>まとめ_!B35</f>
        <v>0</v>
      </c>
      <c r="D32" s="16" t="s">
        <v>38</v>
      </c>
      <c r="E32" s="18">
        <v>5000</v>
      </c>
    </row>
    <row r="33" spans="1:7" ht="16.5" customHeight="1">
      <c r="A33" s="14" t="s">
        <v>39</v>
      </c>
      <c r="B33" s="18">
        <v>50000</v>
      </c>
      <c r="C33" s="18">
        <f>まとめ_!B43</f>
        <v>99073</v>
      </c>
      <c r="D33" s="16" t="s">
        <v>40</v>
      </c>
      <c r="E33" s="18">
        <v>150000</v>
      </c>
    </row>
    <row r="34" spans="1:7" ht="16.5" customHeight="1">
      <c r="A34" s="14" t="s">
        <v>12</v>
      </c>
      <c r="B34" s="18">
        <v>15000</v>
      </c>
      <c r="C34" s="18">
        <f>まとめ_!B45</f>
        <v>43500</v>
      </c>
      <c r="D34" s="16" t="s">
        <v>12</v>
      </c>
      <c r="E34" s="18">
        <v>50000</v>
      </c>
    </row>
    <row r="35" spans="1:7" ht="16.5" customHeight="1">
      <c r="A35" s="14" t="s">
        <v>41</v>
      </c>
      <c r="B35" s="15">
        <v>0</v>
      </c>
      <c r="C35" s="18">
        <f>まとめ_!B47</f>
        <v>45988</v>
      </c>
      <c r="D35" s="16" t="s">
        <v>41</v>
      </c>
      <c r="E35" s="18">
        <v>46000</v>
      </c>
    </row>
    <row r="36" spans="1:7" ht="16.5" customHeight="1">
      <c r="A36" s="14" t="s">
        <v>42</v>
      </c>
      <c r="B36" s="18">
        <v>150000</v>
      </c>
      <c r="C36" s="18">
        <f>まとめ_!B52</f>
        <v>78247</v>
      </c>
      <c r="D36" s="33" t="s">
        <v>43</v>
      </c>
      <c r="E36" s="18">
        <v>100000</v>
      </c>
    </row>
    <row r="37" spans="1:7" ht="16.5" customHeight="1">
      <c r="A37" s="14" t="s">
        <v>44</v>
      </c>
      <c r="B37" s="18">
        <v>320000</v>
      </c>
      <c r="C37" s="18">
        <f>まとめ_!B54</f>
        <v>148200</v>
      </c>
      <c r="D37" s="16" t="s">
        <v>45</v>
      </c>
      <c r="E37" s="18">
        <v>200000</v>
      </c>
      <c r="G37" s="34"/>
    </row>
    <row r="38" spans="1:7" ht="16.5" customHeight="1">
      <c r="A38" s="14" t="s">
        <v>46</v>
      </c>
      <c r="B38" s="18">
        <v>200000</v>
      </c>
      <c r="C38" s="18">
        <f>まとめ_!B59</f>
        <v>112810</v>
      </c>
      <c r="D38" s="33" t="s">
        <v>43</v>
      </c>
      <c r="E38" s="18">
        <v>200000</v>
      </c>
    </row>
    <row r="39" spans="1:7" ht="16.5" customHeight="1">
      <c r="A39" s="14" t="s">
        <v>47</v>
      </c>
      <c r="B39" s="18">
        <v>170000</v>
      </c>
      <c r="C39" s="18">
        <f>まとめ_!B62</f>
        <v>76000</v>
      </c>
      <c r="D39" s="33" t="s">
        <v>43</v>
      </c>
      <c r="E39" s="18">
        <v>80000</v>
      </c>
      <c r="G39" s="34"/>
    </row>
    <row r="40" spans="1:7" ht="16.5" customHeight="1">
      <c r="A40" s="22" t="s">
        <v>48</v>
      </c>
      <c r="B40" s="35">
        <v>5000</v>
      </c>
      <c r="C40" s="35">
        <f>まとめ_!B69</f>
        <v>2268</v>
      </c>
      <c r="D40" s="36" t="s">
        <v>49</v>
      </c>
      <c r="E40" s="35">
        <v>100000</v>
      </c>
    </row>
    <row r="41" spans="1:7" ht="16.5" customHeight="1" thickBot="1">
      <c r="A41" s="25" t="s">
        <v>26</v>
      </c>
      <c r="B41" s="26">
        <f>SUM(B26:B40)</f>
        <v>1000000</v>
      </c>
      <c r="C41" s="26">
        <f>SUM(C26:C40)</f>
        <v>653438</v>
      </c>
      <c r="D41" s="37"/>
      <c r="E41" s="26">
        <f>SUM(E26:E40)</f>
        <v>1036000</v>
      </c>
    </row>
    <row r="42" spans="1:7" ht="15" customHeight="1" thickBot="1">
      <c r="A42" s="5"/>
      <c r="B42" s="6"/>
      <c r="C42" s="6"/>
      <c r="D42" s="5"/>
      <c r="E42" s="6"/>
    </row>
    <row r="43" spans="1:7" ht="15" customHeight="1" thickBot="1">
      <c r="A43" s="38" t="s">
        <v>50</v>
      </c>
      <c r="B43" s="39">
        <f>C21</f>
        <v>1082001</v>
      </c>
      <c r="C43" s="6"/>
      <c r="D43" s="5"/>
      <c r="E43" s="40" t="s">
        <v>51</v>
      </c>
    </row>
    <row r="44" spans="1:7" ht="15" customHeight="1" thickBot="1">
      <c r="A44" s="41" t="s">
        <v>52</v>
      </c>
      <c r="B44" s="42">
        <f>C41</f>
        <v>653438</v>
      </c>
      <c r="C44" s="6"/>
      <c r="D44" s="5"/>
      <c r="E44" s="26" t="s">
        <v>53</v>
      </c>
    </row>
    <row r="45" spans="1:7" ht="15" customHeight="1" thickBot="1">
      <c r="A45" s="43" t="s">
        <v>54</v>
      </c>
      <c r="B45" s="44">
        <f>+B43-B44</f>
        <v>428563</v>
      </c>
      <c r="C45" s="6" t="s">
        <v>55</v>
      </c>
      <c r="D45" s="5"/>
      <c r="G45" s="34"/>
    </row>
    <row r="46" spans="1:7" ht="13">
      <c r="A46" s="48"/>
      <c r="B46" s="48"/>
      <c r="C46" s="48"/>
    </row>
    <row r="47" spans="1:7" ht="13"/>
    <row r="48" spans="1:7" ht="13">
      <c r="G48" s="34"/>
    </row>
  </sheetData>
  <mergeCells count="9">
    <mergeCell ref="B9:B11"/>
    <mergeCell ref="E9:E11"/>
    <mergeCell ref="A46:C46"/>
    <mergeCell ref="A1:E1"/>
    <mergeCell ref="G1:L1"/>
    <mergeCell ref="A2:E2"/>
    <mergeCell ref="G2:L2"/>
    <mergeCell ref="A4:E4"/>
    <mergeCell ref="D5:E5"/>
  </mergeCells>
  <phoneticPr fontId="26"/>
  <printOptions horizontalCentered="1"/>
  <pageMargins left="0.70826771653543308" right="0.70826771653543308" top="1.1417322834645671" bottom="1.1417322834645671" header="0.74803149606299213" footer="0.74803149606299213"/>
  <pageSetup paperSize="0" scale="81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/>
  </sheetViews>
  <sheetFormatPr defaultRowHeight="14.15"/>
  <cols>
    <col min="1" max="1" width="11.81640625" customWidth="1"/>
    <col min="2" max="3" width="14.26953125" style="51" customWidth="1"/>
    <col min="4" max="4" width="17.26953125" style="51" customWidth="1"/>
    <col min="5" max="5" width="22.453125" customWidth="1"/>
    <col min="6" max="6" width="6.6328125" customWidth="1"/>
    <col min="7" max="7" width="13.08984375" customWidth="1"/>
    <col min="8" max="8" width="16.453125" customWidth="1"/>
    <col min="9" max="9" width="8.7265625" customWidth="1"/>
    <col min="10" max="11" width="9.26953125" customWidth="1"/>
    <col min="12" max="12" width="8.7265625" customWidth="1"/>
  </cols>
  <sheetData>
    <row r="1" spans="1:8" ht="25.5" customHeight="1">
      <c r="A1" s="64" t="s">
        <v>56</v>
      </c>
      <c r="B1" s="64"/>
      <c r="C1" s="64"/>
      <c r="D1" s="64"/>
      <c r="E1" s="64"/>
      <c r="F1" s="64"/>
      <c r="G1" s="64"/>
      <c r="H1" s="64"/>
    </row>
    <row r="2" spans="1:8" ht="12.75" customHeight="1"/>
    <row r="3" spans="1:8" ht="13">
      <c r="A3" s="65">
        <f ca="1">TODAY()</f>
        <v>43537</v>
      </c>
      <c r="B3" s="65"/>
      <c r="C3" s="65"/>
      <c r="D3" s="52"/>
      <c r="E3" s="5"/>
      <c r="F3" s="5"/>
      <c r="G3" s="66" t="s">
        <v>57</v>
      </c>
      <c r="H3" s="66"/>
    </row>
    <row r="4" spans="1:8" ht="13">
      <c r="A4" s="53"/>
      <c r="B4" s="54"/>
      <c r="C4" s="54"/>
      <c r="D4" s="52"/>
      <c r="E4" s="5"/>
      <c r="F4" s="5"/>
      <c r="G4" s="66" t="s">
        <v>58</v>
      </c>
      <c r="H4" s="66"/>
    </row>
    <row r="5" spans="1:8" ht="15" customHeight="1">
      <c r="B5" s="52"/>
      <c r="C5" s="52"/>
      <c r="D5" s="52"/>
      <c r="E5" s="5"/>
      <c r="F5" s="5"/>
      <c r="G5" s="5"/>
      <c r="H5" s="5"/>
    </row>
    <row r="6" spans="1:8" ht="14">
      <c r="A6" s="55" t="s">
        <v>59</v>
      </c>
      <c r="B6" s="56" t="s">
        <v>60</v>
      </c>
      <c r="C6" s="57" t="s">
        <v>61</v>
      </c>
      <c r="D6" s="56" t="s">
        <v>62</v>
      </c>
      <c r="E6" s="55" t="s">
        <v>63</v>
      </c>
      <c r="F6" s="58" t="s">
        <v>64</v>
      </c>
      <c r="G6" s="55" t="s">
        <v>65</v>
      </c>
      <c r="H6" s="55" t="s">
        <v>66</v>
      </c>
    </row>
    <row r="7" spans="1:8" ht="14">
      <c r="A7" s="59">
        <v>42786</v>
      </c>
      <c r="B7" s="60">
        <f>1</f>
        <v>1</v>
      </c>
      <c r="C7" s="60"/>
      <c r="D7" s="60">
        <f>+$B7-$C7</f>
        <v>1</v>
      </c>
      <c r="E7" s="61" t="s">
        <v>67</v>
      </c>
      <c r="F7" s="62" t="s">
        <v>64</v>
      </c>
      <c r="G7" s="63" t="s">
        <v>68</v>
      </c>
      <c r="H7" s="63" t="s">
        <v>69</v>
      </c>
    </row>
    <row r="8" spans="1:8" ht="14">
      <c r="A8" s="59">
        <v>43045</v>
      </c>
      <c r="B8" s="60">
        <f>29600</f>
        <v>29600</v>
      </c>
      <c r="C8" s="60"/>
      <c r="D8" s="60">
        <f t="shared" ref="D8:D24" si="0">$D7+$B8-$C8</f>
        <v>29601</v>
      </c>
      <c r="E8" s="61" t="s">
        <v>70</v>
      </c>
      <c r="F8" s="62" t="s">
        <v>64</v>
      </c>
      <c r="G8" s="63" t="s">
        <v>68</v>
      </c>
      <c r="H8" s="61" t="s">
        <v>9</v>
      </c>
    </row>
    <row r="9" spans="1:8" ht="14">
      <c r="A9" s="59">
        <v>43048</v>
      </c>
      <c r="B9" s="60">
        <f>22400</f>
        <v>22400</v>
      </c>
      <c r="C9" s="60"/>
      <c r="D9" s="60">
        <f t="shared" si="0"/>
        <v>52001</v>
      </c>
      <c r="E9" s="61" t="s">
        <v>71</v>
      </c>
      <c r="F9" s="62" t="s">
        <v>64</v>
      </c>
      <c r="G9" s="63" t="s">
        <v>68</v>
      </c>
      <c r="H9" s="61" t="s">
        <v>9</v>
      </c>
    </row>
    <row r="10" spans="1:8" ht="14">
      <c r="A10" s="59">
        <v>43048</v>
      </c>
      <c r="B10" s="60">
        <f>54800</f>
        <v>54800</v>
      </c>
      <c r="C10" s="60"/>
      <c r="D10" s="60">
        <f t="shared" si="0"/>
        <v>106801</v>
      </c>
      <c r="E10" s="61" t="s">
        <v>71</v>
      </c>
      <c r="F10" s="62" t="s">
        <v>64</v>
      </c>
      <c r="G10" s="63" t="s">
        <v>68</v>
      </c>
      <c r="H10" s="61" t="s">
        <v>9</v>
      </c>
    </row>
    <row r="11" spans="1:8" ht="14">
      <c r="A11" s="59">
        <v>43049</v>
      </c>
      <c r="B11" s="60"/>
      <c r="C11" s="60">
        <f>64900</f>
        <v>64900</v>
      </c>
      <c r="D11" s="60">
        <f t="shared" si="0"/>
        <v>41901</v>
      </c>
      <c r="E11" s="61" t="s">
        <v>28</v>
      </c>
      <c r="F11" s="62" t="s">
        <v>64</v>
      </c>
      <c r="G11" s="63" t="s">
        <v>68</v>
      </c>
      <c r="H11" s="61" t="s">
        <v>28</v>
      </c>
    </row>
    <row r="12" spans="1:8" ht="14">
      <c r="A12" s="59">
        <v>43049</v>
      </c>
      <c r="B12" s="60"/>
      <c r="C12" s="60">
        <f>432</f>
        <v>432</v>
      </c>
      <c r="D12" s="60">
        <f t="shared" si="0"/>
        <v>41469</v>
      </c>
      <c r="E12" s="61" t="s">
        <v>49</v>
      </c>
      <c r="F12" s="62" t="s">
        <v>64</v>
      </c>
      <c r="G12" s="63" t="s">
        <v>68</v>
      </c>
      <c r="H12" s="61" t="s">
        <v>49</v>
      </c>
    </row>
    <row r="13" spans="1:8" ht="14">
      <c r="A13" s="59">
        <v>43052</v>
      </c>
      <c r="B13" s="60">
        <f>155800</f>
        <v>155800</v>
      </c>
      <c r="C13" s="60"/>
      <c r="D13" s="60">
        <f t="shared" si="0"/>
        <v>197269</v>
      </c>
      <c r="E13" s="61" t="s">
        <v>72</v>
      </c>
      <c r="F13" s="62" t="s">
        <v>64</v>
      </c>
      <c r="G13" s="63" t="s">
        <v>68</v>
      </c>
      <c r="H13" s="61" t="s">
        <v>9</v>
      </c>
    </row>
    <row r="14" spans="1:8" ht="14">
      <c r="A14" s="59">
        <v>43052</v>
      </c>
      <c r="B14" s="60">
        <v>192000</v>
      </c>
      <c r="C14" s="60"/>
      <c r="D14" s="60">
        <f t="shared" si="0"/>
        <v>389269</v>
      </c>
      <c r="E14" s="61" t="s">
        <v>73</v>
      </c>
      <c r="F14" s="62" t="s">
        <v>64</v>
      </c>
      <c r="G14" s="63" t="s">
        <v>68</v>
      </c>
      <c r="H14" s="61" t="s">
        <v>9</v>
      </c>
    </row>
    <row r="15" spans="1:8" ht="14">
      <c r="A15" s="59">
        <v>43052</v>
      </c>
      <c r="B15" s="60">
        <v>96800</v>
      </c>
      <c r="C15" s="60"/>
      <c r="D15" s="60">
        <f t="shared" si="0"/>
        <v>486069</v>
      </c>
      <c r="E15" s="61" t="s">
        <v>73</v>
      </c>
      <c r="F15" s="62" t="s">
        <v>64</v>
      </c>
      <c r="G15" s="63" t="s">
        <v>68</v>
      </c>
      <c r="H15" s="61" t="s">
        <v>9</v>
      </c>
    </row>
    <row r="16" spans="1:8" ht="14">
      <c r="A16" s="59">
        <v>43052</v>
      </c>
      <c r="B16" s="60">
        <v>101800</v>
      </c>
      <c r="C16" s="60"/>
      <c r="D16" s="60">
        <f t="shared" si="0"/>
        <v>587869</v>
      </c>
      <c r="E16" s="61" t="s">
        <v>74</v>
      </c>
      <c r="F16" s="62" t="s">
        <v>64</v>
      </c>
      <c r="G16" s="63" t="s">
        <v>68</v>
      </c>
      <c r="H16" s="61" t="s">
        <v>9</v>
      </c>
    </row>
    <row r="17" spans="1:8" ht="14">
      <c r="A17" s="59">
        <v>43053</v>
      </c>
      <c r="B17" s="60">
        <v>199000</v>
      </c>
      <c r="C17" s="60"/>
      <c r="D17" s="60">
        <f t="shared" si="0"/>
        <v>786869</v>
      </c>
      <c r="E17" s="61" t="s">
        <v>75</v>
      </c>
      <c r="F17" s="62" t="s">
        <v>64</v>
      </c>
      <c r="G17" s="63" t="s">
        <v>68</v>
      </c>
      <c r="H17" s="61" t="s">
        <v>9</v>
      </c>
    </row>
    <row r="18" spans="1:8" ht="14">
      <c r="A18" s="59">
        <v>43053</v>
      </c>
      <c r="B18" s="60">
        <v>66200</v>
      </c>
      <c r="C18" s="60"/>
      <c r="D18" s="60">
        <f t="shared" si="0"/>
        <v>853069</v>
      </c>
      <c r="E18" s="61" t="s">
        <v>75</v>
      </c>
      <c r="F18" s="62" t="s">
        <v>64</v>
      </c>
      <c r="G18" s="63" t="s">
        <v>68</v>
      </c>
      <c r="H18" s="61" t="s">
        <v>9</v>
      </c>
    </row>
    <row r="19" spans="1:8" ht="14">
      <c r="A19" s="59">
        <v>43073</v>
      </c>
      <c r="B19" s="60"/>
      <c r="C19" s="60">
        <v>13500</v>
      </c>
      <c r="D19" s="60">
        <f t="shared" si="0"/>
        <v>839569</v>
      </c>
      <c r="E19" s="61" t="s">
        <v>76</v>
      </c>
      <c r="F19" s="62" t="s">
        <v>64</v>
      </c>
      <c r="G19" s="63" t="s">
        <v>68</v>
      </c>
      <c r="H19" s="61" t="s">
        <v>12</v>
      </c>
    </row>
    <row r="20" spans="1:8" ht="14">
      <c r="A20" s="59">
        <v>43073</v>
      </c>
      <c r="B20" s="60"/>
      <c r="C20" s="60">
        <v>216</v>
      </c>
      <c r="D20" s="60">
        <f t="shared" si="0"/>
        <v>839353</v>
      </c>
      <c r="E20" s="61" t="s">
        <v>49</v>
      </c>
      <c r="F20" s="62" t="s">
        <v>64</v>
      </c>
      <c r="G20" s="63" t="s">
        <v>68</v>
      </c>
      <c r="H20" s="61" t="s">
        <v>49</v>
      </c>
    </row>
    <row r="21" spans="1:8" ht="14">
      <c r="A21" s="59">
        <v>43076</v>
      </c>
      <c r="B21" s="60"/>
      <c r="C21" s="60">
        <v>23241</v>
      </c>
      <c r="D21" s="60">
        <f t="shared" si="0"/>
        <v>816112</v>
      </c>
      <c r="E21" s="61" t="s">
        <v>77</v>
      </c>
      <c r="F21" s="62" t="s">
        <v>64</v>
      </c>
      <c r="G21" s="63" t="s">
        <v>68</v>
      </c>
      <c r="H21" s="61" t="s">
        <v>33</v>
      </c>
    </row>
    <row r="22" spans="1:8" ht="14">
      <c r="A22" s="59">
        <v>43076</v>
      </c>
      <c r="B22" s="60"/>
      <c r="C22" s="60">
        <v>108</v>
      </c>
      <c r="D22" s="60">
        <f t="shared" si="0"/>
        <v>816004</v>
      </c>
      <c r="E22" s="61" t="s">
        <v>49</v>
      </c>
      <c r="F22" s="62" t="s">
        <v>64</v>
      </c>
      <c r="G22" s="63" t="s">
        <v>68</v>
      </c>
      <c r="H22" s="61" t="s">
        <v>49</v>
      </c>
    </row>
    <row r="23" spans="1:8" ht="14">
      <c r="A23" s="59">
        <v>43077</v>
      </c>
      <c r="B23" s="60"/>
      <c r="C23" s="60">
        <v>600000</v>
      </c>
      <c r="D23" s="60">
        <f t="shared" si="0"/>
        <v>216004</v>
      </c>
      <c r="E23" s="61" t="s">
        <v>78</v>
      </c>
      <c r="F23" s="62" t="s">
        <v>64</v>
      </c>
      <c r="G23" s="63" t="s">
        <v>68</v>
      </c>
      <c r="H23" s="61" t="s">
        <v>9</v>
      </c>
    </row>
    <row r="24" spans="1:8" ht="14">
      <c r="A24" s="59">
        <v>43077</v>
      </c>
      <c r="B24" s="60"/>
      <c r="C24" s="60">
        <v>864</v>
      </c>
      <c r="D24" s="60">
        <f t="shared" si="0"/>
        <v>215140</v>
      </c>
      <c r="E24" s="61" t="s">
        <v>49</v>
      </c>
      <c r="F24" s="62" t="s">
        <v>64</v>
      </c>
      <c r="G24" s="63" t="s">
        <v>68</v>
      </c>
      <c r="H24" s="61" t="s">
        <v>21</v>
      </c>
    </row>
    <row r="25" spans="1:8" ht="14">
      <c r="A25" s="59">
        <v>43110</v>
      </c>
      <c r="B25" s="60"/>
      <c r="C25" s="60">
        <v>26314</v>
      </c>
      <c r="D25" s="60">
        <f>188826</f>
        <v>188826</v>
      </c>
      <c r="E25" s="61" t="s">
        <v>79</v>
      </c>
      <c r="F25" s="62" t="s">
        <v>64</v>
      </c>
      <c r="G25" s="63" t="s">
        <v>68</v>
      </c>
      <c r="H25" s="61" t="s">
        <v>39</v>
      </c>
    </row>
    <row r="26" spans="1:8" ht="14">
      <c r="A26" s="59">
        <v>43110</v>
      </c>
      <c r="B26" s="60"/>
      <c r="C26" s="60">
        <v>108</v>
      </c>
      <c r="D26" s="60">
        <f>188718</f>
        <v>188718</v>
      </c>
      <c r="E26" s="61" t="s">
        <v>49</v>
      </c>
      <c r="F26" s="62" t="s">
        <v>64</v>
      </c>
      <c r="G26" s="63" t="s">
        <v>68</v>
      </c>
      <c r="H26" s="61" t="s">
        <v>69</v>
      </c>
    </row>
    <row r="27" spans="1:8" ht="14">
      <c r="A27" s="59">
        <v>43110</v>
      </c>
      <c r="B27" s="60"/>
      <c r="C27" s="60">
        <v>1134</v>
      </c>
      <c r="D27" s="60">
        <f>187584</f>
        <v>187584</v>
      </c>
      <c r="E27" s="61" t="s">
        <v>79</v>
      </c>
      <c r="F27" s="62" t="s">
        <v>64</v>
      </c>
      <c r="G27" s="63" t="s">
        <v>68</v>
      </c>
      <c r="H27" s="61" t="s">
        <v>39</v>
      </c>
    </row>
    <row r="28" spans="1:8" ht="14">
      <c r="A28" s="59">
        <v>43110</v>
      </c>
      <c r="B28" s="60"/>
      <c r="C28" s="60">
        <v>108</v>
      </c>
      <c r="D28" s="60">
        <f>187476</f>
        <v>187476</v>
      </c>
      <c r="E28" s="61" t="s">
        <v>49</v>
      </c>
      <c r="F28" s="62" t="s">
        <v>64</v>
      </c>
      <c r="G28" s="63" t="s">
        <v>68</v>
      </c>
      <c r="H28" s="61" t="s">
        <v>69</v>
      </c>
    </row>
    <row r="29" spans="1:8" ht="14">
      <c r="A29" s="59">
        <v>43122</v>
      </c>
      <c r="B29" s="60"/>
      <c r="C29" s="60">
        <f>35937</f>
        <v>35937</v>
      </c>
      <c r="D29" s="60">
        <f>151539</f>
        <v>151539</v>
      </c>
      <c r="E29" s="61" t="s">
        <v>80</v>
      </c>
      <c r="F29" s="62" t="s">
        <v>64</v>
      </c>
      <c r="G29" s="63" t="s">
        <v>68</v>
      </c>
      <c r="H29" s="61" t="s">
        <v>37</v>
      </c>
    </row>
    <row r="30" spans="1:8" ht="14">
      <c r="A30" s="59">
        <v>43122</v>
      </c>
      <c r="B30" s="60"/>
      <c r="C30" s="60">
        <f>432</f>
        <v>432</v>
      </c>
      <c r="D30" s="60">
        <f>151107</f>
        <v>151107</v>
      </c>
      <c r="E30" s="61" t="s">
        <v>49</v>
      </c>
      <c r="F30" s="62" t="s">
        <v>64</v>
      </c>
      <c r="G30" s="63" t="s">
        <v>68</v>
      </c>
      <c r="H30" s="61" t="s">
        <v>69</v>
      </c>
    </row>
    <row r="31" spans="1:8" ht="14">
      <c r="A31" s="59">
        <v>43130</v>
      </c>
      <c r="B31" s="60">
        <f>329257</f>
        <v>329257</v>
      </c>
      <c r="C31" s="60"/>
      <c r="D31" s="60">
        <f>480364</f>
        <v>480364</v>
      </c>
      <c r="E31" s="61" t="s">
        <v>81</v>
      </c>
      <c r="F31" s="62" t="s">
        <v>64</v>
      </c>
      <c r="G31" s="63" t="s">
        <v>68</v>
      </c>
      <c r="H31" s="61" t="s">
        <v>82</v>
      </c>
    </row>
    <row r="32" spans="1:8" ht="14">
      <c r="A32" s="59">
        <v>43130</v>
      </c>
      <c r="B32" s="60">
        <f>6126</f>
        <v>6126</v>
      </c>
      <c r="C32" s="60"/>
      <c r="D32" s="60">
        <f>486490</f>
        <v>486490</v>
      </c>
      <c r="E32" s="61" t="s">
        <v>81</v>
      </c>
      <c r="F32" s="62" t="s">
        <v>64</v>
      </c>
      <c r="G32" s="63" t="s">
        <v>68</v>
      </c>
      <c r="H32" s="61" t="s">
        <v>82</v>
      </c>
    </row>
    <row r="33" spans="1:8" ht="14">
      <c r="A33" s="59">
        <v>43130</v>
      </c>
      <c r="B33" s="60">
        <f>30000</f>
        <v>30000</v>
      </c>
      <c r="C33" s="60"/>
      <c r="D33" s="60">
        <f>516490</f>
        <v>516490</v>
      </c>
      <c r="E33" s="61" t="s">
        <v>83</v>
      </c>
      <c r="F33" s="62" t="s">
        <v>64</v>
      </c>
      <c r="G33" s="63" t="s">
        <v>68</v>
      </c>
      <c r="H33" s="61" t="s">
        <v>83</v>
      </c>
    </row>
    <row r="34" spans="1:8" ht="14">
      <c r="A34" s="59">
        <v>43130</v>
      </c>
      <c r="B34" s="60"/>
      <c r="C34" s="60">
        <f>257800</f>
        <v>257800</v>
      </c>
      <c r="D34" s="60">
        <f>258690</f>
        <v>258690</v>
      </c>
      <c r="E34" s="61" t="s">
        <v>84</v>
      </c>
      <c r="F34" s="62" t="s">
        <v>64</v>
      </c>
      <c r="G34" s="63" t="s">
        <v>68</v>
      </c>
      <c r="H34" s="61" t="s">
        <v>44</v>
      </c>
    </row>
    <row r="35" spans="1:8" ht="14">
      <c r="A35" s="59">
        <v>43130</v>
      </c>
      <c r="B35" s="60"/>
      <c r="C35" s="60">
        <f>432</f>
        <v>432</v>
      </c>
      <c r="D35" s="60">
        <f>258258</f>
        <v>258258</v>
      </c>
      <c r="E35" s="61" t="s">
        <v>49</v>
      </c>
      <c r="F35" s="62" t="s">
        <v>64</v>
      </c>
      <c r="G35" s="63" t="s">
        <v>68</v>
      </c>
      <c r="H35" s="61" t="s">
        <v>69</v>
      </c>
    </row>
    <row r="36" spans="1:8" ht="14">
      <c r="A36" s="59">
        <v>43166</v>
      </c>
      <c r="B36" s="60">
        <v>1</v>
      </c>
      <c r="C36" s="60"/>
      <c r="D36" s="60">
        <f>258259</f>
        <v>258259</v>
      </c>
      <c r="E36" s="61" t="s">
        <v>49</v>
      </c>
      <c r="F36" s="62" t="s">
        <v>64</v>
      </c>
      <c r="G36" s="63" t="s">
        <v>68</v>
      </c>
      <c r="H36" s="61" t="s">
        <v>69</v>
      </c>
    </row>
    <row r="37" spans="1:8" ht="14">
      <c r="A37" s="59">
        <v>43166</v>
      </c>
      <c r="B37" s="60"/>
      <c r="C37" s="60">
        <v>258258</v>
      </c>
      <c r="D37" s="60">
        <v>1</v>
      </c>
      <c r="E37" s="61" t="s">
        <v>85</v>
      </c>
      <c r="F37" s="62" t="s">
        <v>64</v>
      </c>
      <c r="G37" s="63" t="s">
        <v>68</v>
      </c>
      <c r="H37" s="61" t="s">
        <v>85</v>
      </c>
    </row>
    <row r="38" spans="1:8" ht="14">
      <c r="A38" s="59">
        <v>43167</v>
      </c>
      <c r="B38" s="60"/>
      <c r="C38" s="60">
        <v>1</v>
      </c>
      <c r="D38" s="60">
        <v>0</v>
      </c>
      <c r="E38" s="61" t="s">
        <v>85</v>
      </c>
      <c r="F38" s="62" t="s">
        <v>64</v>
      </c>
      <c r="G38" s="63" t="s">
        <v>68</v>
      </c>
      <c r="H38" s="61" t="s">
        <v>85</v>
      </c>
    </row>
    <row r="39" spans="1:8" ht="14">
      <c r="A39" s="59">
        <v>43403</v>
      </c>
      <c r="B39" s="60">
        <v>86000</v>
      </c>
      <c r="C39" s="60"/>
      <c r="D39" s="60">
        <v>86000</v>
      </c>
      <c r="E39" s="61" t="s">
        <v>74</v>
      </c>
      <c r="F39" s="62" t="s">
        <v>64</v>
      </c>
      <c r="G39" s="63" t="s">
        <v>68</v>
      </c>
      <c r="H39" s="61" t="s">
        <v>9</v>
      </c>
    </row>
    <row r="40" spans="1:8" ht="14">
      <c r="A40" s="59">
        <v>43403</v>
      </c>
      <c r="B40" s="60">
        <v>52800</v>
      </c>
      <c r="C40" s="60"/>
      <c r="D40" s="60">
        <v>138800</v>
      </c>
      <c r="E40" s="61" t="s">
        <v>74</v>
      </c>
      <c r="F40" s="62" t="s">
        <v>64</v>
      </c>
      <c r="G40" s="63" t="s">
        <v>68</v>
      </c>
      <c r="H40" s="61" t="s">
        <v>9</v>
      </c>
    </row>
    <row r="41" spans="1:8" ht="14">
      <c r="A41" s="59">
        <v>43403</v>
      </c>
      <c r="B41" s="60">
        <v>108400</v>
      </c>
      <c r="C41" s="60"/>
      <c r="D41" s="60">
        <v>247200</v>
      </c>
      <c r="E41" s="61" t="s">
        <v>72</v>
      </c>
      <c r="F41" s="62" t="s">
        <v>64</v>
      </c>
      <c r="G41" s="63" t="s">
        <v>68</v>
      </c>
      <c r="H41" s="61" t="s">
        <v>9</v>
      </c>
    </row>
    <row r="42" spans="1:8" ht="14">
      <c r="A42" s="59">
        <v>43403</v>
      </c>
      <c r="B42" s="60">
        <v>121400</v>
      </c>
      <c r="C42" s="60"/>
      <c r="D42" s="60">
        <v>368600</v>
      </c>
      <c r="E42" s="61" t="s">
        <v>72</v>
      </c>
      <c r="F42" s="62" t="s">
        <v>64</v>
      </c>
      <c r="G42" s="63" t="s">
        <v>68</v>
      </c>
      <c r="H42" s="61" t="s">
        <v>9</v>
      </c>
    </row>
    <row r="43" spans="1:8" ht="14">
      <c r="A43" s="59">
        <v>43404</v>
      </c>
      <c r="B43" s="60">
        <v>131000</v>
      </c>
      <c r="C43" s="60"/>
      <c r="D43" s="60">
        <v>499600</v>
      </c>
      <c r="E43" s="61" t="s">
        <v>73</v>
      </c>
      <c r="F43" s="62" t="s">
        <v>64</v>
      </c>
      <c r="G43" s="63" t="s">
        <v>68</v>
      </c>
      <c r="H43" s="61" t="s">
        <v>9</v>
      </c>
    </row>
    <row r="44" spans="1:8" ht="14">
      <c r="A44" s="59">
        <v>43404</v>
      </c>
      <c r="B44" s="60">
        <v>216000</v>
      </c>
      <c r="C44" s="60"/>
      <c r="D44" s="60">
        <v>715600</v>
      </c>
      <c r="E44" s="61" t="s">
        <v>73</v>
      </c>
      <c r="F44" s="62" t="s">
        <v>64</v>
      </c>
      <c r="G44" s="63" t="s">
        <v>68</v>
      </c>
      <c r="H44" s="61" t="s">
        <v>9</v>
      </c>
    </row>
    <row r="45" spans="1:8" ht="14">
      <c r="A45" s="59">
        <v>43404</v>
      </c>
      <c r="B45" s="60">
        <v>21800</v>
      </c>
      <c r="C45" s="60"/>
      <c r="D45" s="60">
        <v>737400</v>
      </c>
      <c r="E45" s="61" t="s">
        <v>71</v>
      </c>
      <c r="F45" s="62" t="s">
        <v>64</v>
      </c>
      <c r="G45" s="63" t="s">
        <v>68</v>
      </c>
      <c r="H45" s="61" t="s">
        <v>9</v>
      </c>
    </row>
    <row r="46" spans="1:8" ht="14">
      <c r="A46" s="59">
        <v>43404</v>
      </c>
      <c r="B46" s="60">
        <v>34800</v>
      </c>
      <c r="C46" s="60"/>
      <c r="D46" s="60">
        <v>772200</v>
      </c>
      <c r="E46" s="61" t="s">
        <v>71</v>
      </c>
      <c r="F46" s="62" t="s">
        <v>64</v>
      </c>
      <c r="G46" s="63" t="s">
        <v>68</v>
      </c>
      <c r="H46" s="61" t="s">
        <v>9</v>
      </c>
    </row>
    <row r="47" spans="1:8" ht="14">
      <c r="A47" s="59">
        <v>43405</v>
      </c>
      <c r="B47" s="60">
        <v>130000</v>
      </c>
      <c r="C47" s="60"/>
      <c r="D47" s="60">
        <v>902200</v>
      </c>
      <c r="E47" s="61" t="s">
        <v>75</v>
      </c>
      <c r="F47" s="62" t="s">
        <v>64</v>
      </c>
      <c r="G47" s="63" t="s">
        <v>68</v>
      </c>
      <c r="H47" s="61" t="s">
        <v>9</v>
      </c>
    </row>
    <row r="48" spans="1:8" ht="14">
      <c r="A48" s="59">
        <v>43405</v>
      </c>
      <c r="B48" s="60">
        <v>17000</v>
      </c>
      <c r="C48" s="60"/>
      <c r="D48" s="60">
        <v>919200</v>
      </c>
      <c r="E48" s="61" t="s">
        <v>75</v>
      </c>
      <c r="F48" s="62" t="s">
        <v>64</v>
      </c>
      <c r="G48" s="63" t="s">
        <v>68</v>
      </c>
      <c r="H48" s="61" t="s">
        <v>9</v>
      </c>
    </row>
    <row r="49" spans="1:8" ht="14">
      <c r="A49" s="59">
        <v>43405</v>
      </c>
      <c r="B49" s="60">
        <v>17400</v>
      </c>
      <c r="C49" s="60"/>
      <c r="D49" s="60">
        <v>936600</v>
      </c>
      <c r="E49" s="61" t="s">
        <v>75</v>
      </c>
      <c r="F49" s="62" t="s">
        <v>64</v>
      </c>
      <c r="G49" s="63" t="s">
        <v>68</v>
      </c>
      <c r="H49" s="61" t="s">
        <v>9</v>
      </c>
    </row>
    <row r="50" spans="1:8" ht="14">
      <c r="A50" s="59">
        <v>43405</v>
      </c>
      <c r="B50" s="60">
        <v>58000</v>
      </c>
      <c r="C50" s="60"/>
      <c r="D50" s="60">
        <v>994600</v>
      </c>
      <c r="E50" s="61" t="s">
        <v>86</v>
      </c>
      <c r="F50" s="62" t="s">
        <v>64</v>
      </c>
      <c r="G50" s="63" t="s">
        <v>68</v>
      </c>
      <c r="H50" s="61" t="s">
        <v>9</v>
      </c>
    </row>
    <row r="51" spans="1:8" ht="14">
      <c r="A51" s="59">
        <v>43418</v>
      </c>
      <c r="B51" s="60">
        <v>41100</v>
      </c>
      <c r="C51" s="60"/>
      <c r="D51" s="60">
        <v>1035700</v>
      </c>
      <c r="E51" s="61" t="s">
        <v>75</v>
      </c>
      <c r="F51" s="62" t="s">
        <v>64</v>
      </c>
      <c r="G51" s="63" t="s">
        <v>68</v>
      </c>
      <c r="H51" s="61" t="s">
        <v>9</v>
      </c>
    </row>
    <row r="52" spans="1:8" ht="14">
      <c r="A52" s="59">
        <v>43437</v>
      </c>
      <c r="B52" s="60"/>
      <c r="C52" s="60">
        <v>43500</v>
      </c>
      <c r="D52" s="60">
        <v>992200</v>
      </c>
      <c r="E52" s="61" t="s">
        <v>87</v>
      </c>
      <c r="F52" s="62" t="s">
        <v>64</v>
      </c>
      <c r="G52" s="63" t="s">
        <v>68</v>
      </c>
      <c r="H52" s="61" t="s">
        <v>12</v>
      </c>
    </row>
    <row r="53" spans="1:8" ht="14">
      <c r="A53" s="59">
        <v>43437</v>
      </c>
      <c r="B53" s="60"/>
      <c r="C53" s="60">
        <v>432</v>
      </c>
      <c r="D53" s="60">
        <v>991768</v>
      </c>
      <c r="E53" s="61" t="s">
        <v>49</v>
      </c>
      <c r="F53" s="62" t="s">
        <v>64</v>
      </c>
      <c r="G53" s="63" t="s">
        <v>68</v>
      </c>
      <c r="H53" s="61" t="s">
        <v>49</v>
      </c>
    </row>
    <row r="54" spans="1:8" ht="14">
      <c r="A54" s="59">
        <v>43440</v>
      </c>
      <c r="B54" s="60"/>
      <c r="C54" s="60">
        <v>500000</v>
      </c>
      <c r="D54" s="60">
        <v>491768</v>
      </c>
      <c r="E54" s="61" t="s">
        <v>78</v>
      </c>
      <c r="F54" s="62" t="s">
        <v>64</v>
      </c>
      <c r="G54" s="63" t="s">
        <v>68</v>
      </c>
      <c r="H54" s="61" t="s">
        <v>88</v>
      </c>
    </row>
    <row r="55" spans="1:8" ht="14">
      <c r="A55" s="59">
        <v>43440</v>
      </c>
      <c r="B55" s="60"/>
      <c r="C55" s="60">
        <v>864</v>
      </c>
      <c r="D55" s="60">
        <v>490904</v>
      </c>
      <c r="E55" s="61" t="s">
        <v>49</v>
      </c>
      <c r="F55" s="62" t="s">
        <v>64</v>
      </c>
      <c r="G55" s="63" t="s">
        <v>68</v>
      </c>
      <c r="H55" s="61" t="s">
        <v>49</v>
      </c>
    </row>
    <row r="56" spans="1:8" ht="14">
      <c r="A56" s="59">
        <v>43445</v>
      </c>
      <c r="B56" s="60"/>
      <c r="C56" s="60">
        <v>23241</v>
      </c>
      <c r="D56" s="60">
        <v>467663</v>
      </c>
      <c r="E56" s="61" t="s">
        <v>77</v>
      </c>
      <c r="F56" s="62" t="s">
        <v>64</v>
      </c>
      <c r="G56" s="63" t="s">
        <v>68</v>
      </c>
      <c r="H56" s="61" t="s">
        <v>33</v>
      </c>
    </row>
    <row r="57" spans="1:8" ht="14">
      <c r="A57" s="59">
        <v>43445</v>
      </c>
      <c r="B57" s="60"/>
      <c r="C57" s="60">
        <v>108</v>
      </c>
      <c r="D57" s="60">
        <v>467555</v>
      </c>
      <c r="E57" s="61" t="s">
        <v>49</v>
      </c>
      <c r="F57" s="62" t="s">
        <v>64</v>
      </c>
      <c r="G57" s="63" t="s">
        <v>68</v>
      </c>
      <c r="H57" s="61" t="s">
        <v>49</v>
      </c>
    </row>
    <row r="58" spans="1:8" ht="14">
      <c r="A58" s="59">
        <v>43447</v>
      </c>
      <c r="B58" s="60"/>
      <c r="C58" s="60">
        <v>236200</v>
      </c>
      <c r="D58" s="60">
        <v>231355</v>
      </c>
      <c r="E58" s="61" t="s">
        <v>89</v>
      </c>
      <c r="F58" s="62" t="s">
        <v>64</v>
      </c>
      <c r="G58" s="63" t="s">
        <v>68</v>
      </c>
      <c r="H58" s="61" t="s">
        <v>90</v>
      </c>
    </row>
    <row r="59" spans="1:8" ht="14">
      <c r="A59" s="59">
        <v>43447</v>
      </c>
      <c r="B59" s="60"/>
      <c r="C59" s="60">
        <v>432</v>
      </c>
      <c r="D59" s="60">
        <v>230923</v>
      </c>
      <c r="E59" s="61" t="s">
        <v>49</v>
      </c>
      <c r="F59" s="62" t="s">
        <v>64</v>
      </c>
      <c r="G59" s="63" t="s">
        <v>68</v>
      </c>
      <c r="H59" s="61" t="s">
        <v>49</v>
      </c>
    </row>
    <row r="60" spans="1:8" ht="14">
      <c r="A60" s="59">
        <v>43454</v>
      </c>
      <c r="B60" s="60">
        <v>229556</v>
      </c>
      <c r="C60" s="60"/>
      <c r="D60" s="60">
        <v>460479</v>
      </c>
      <c r="E60" s="61" t="s">
        <v>78</v>
      </c>
      <c r="F60" s="62" t="s">
        <v>64</v>
      </c>
      <c r="G60" s="63" t="s">
        <v>68</v>
      </c>
      <c r="H60" s="61" t="s">
        <v>88</v>
      </c>
    </row>
    <row r="61" spans="1:8" ht="14">
      <c r="A61" s="59">
        <v>43454</v>
      </c>
      <c r="B61" s="60">
        <v>300</v>
      </c>
      <c r="C61" s="60"/>
      <c r="D61" s="60">
        <v>460779</v>
      </c>
      <c r="E61" s="61" t="s">
        <v>75</v>
      </c>
      <c r="F61" s="62" t="s">
        <v>64</v>
      </c>
      <c r="G61" s="63" t="s">
        <v>68</v>
      </c>
      <c r="H61" s="61" t="s">
        <v>9</v>
      </c>
    </row>
    <row r="62" spans="1:8" ht="14">
      <c r="A62" s="59">
        <v>43454</v>
      </c>
      <c r="B62" s="60">
        <v>3000</v>
      </c>
      <c r="C62" s="60"/>
      <c r="D62" s="60">
        <v>463779</v>
      </c>
      <c r="E62" s="61" t="s">
        <v>78</v>
      </c>
      <c r="F62" s="62" t="s">
        <v>64</v>
      </c>
      <c r="G62" s="63" t="s">
        <v>68</v>
      </c>
      <c r="H62" s="61" t="s">
        <v>88</v>
      </c>
    </row>
    <row r="63" spans="1:8" ht="14">
      <c r="A63" s="59">
        <v>43454</v>
      </c>
      <c r="B63" s="60">
        <v>41000</v>
      </c>
      <c r="C63" s="60"/>
      <c r="D63" s="60">
        <v>504779</v>
      </c>
      <c r="E63" s="61" t="s">
        <v>83</v>
      </c>
      <c r="F63" s="62" t="s">
        <v>64</v>
      </c>
      <c r="G63" s="63" t="s">
        <v>68</v>
      </c>
      <c r="H63" s="61" t="s">
        <v>83</v>
      </c>
    </row>
    <row r="64" spans="1:8" ht="14">
      <c r="A64" s="59">
        <v>43454</v>
      </c>
      <c r="B64" s="60">
        <v>5000</v>
      </c>
      <c r="C64" s="60"/>
      <c r="D64" s="60">
        <v>509779</v>
      </c>
      <c r="E64" s="61" t="s">
        <v>91</v>
      </c>
      <c r="F64" s="62" t="s">
        <v>64</v>
      </c>
      <c r="G64" s="63" t="s">
        <v>68</v>
      </c>
      <c r="H64" s="61" t="s">
        <v>92</v>
      </c>
    </row>
    <row r="65" spans="1:8" ht="14">
      <c r="A65" s="59">
        <v>43456</v>
      </c>
      <c r="B65" s="60"/>
      <c r="C65" s="60">
        <v>22356</v>
      </c>
      <c r="D65" s="60">
        <v>487423</v>
      </c>
      <c r="E65" s="61" t="s">
        <v>93</v>
      </c>
      <c r="F65" s="62" t="s">
        <v>64</v>
      </c>
      <c r="G65" s="63" t="s">
        <v>68</v>
      </c>
      <c r="H65" s="61" t="s">
        <v>33</v>
      </c>
    </row>
    <row r="66" spans="1:8" ht="14">
      <c r="A66" s="59">
        <v>43456</v>
      </c>
      <c r="B66" s="60"/>
      <c r="C66" s="60">
        <v>216</v>
      </c>
      <c r="D66" s="60">
        <v>487207</v>
      </c>
      <c r="E66" s="61" t="s">
        <v>49</v>
      </c>
      <c r="F66" s="62" t="s">
        <v>64</v>
      </c>
      <c r="G66" s="63" t="s">
        <v>68</v>
      </c>
      <c r="H66" s="61" t="s">
        <v>49</v>
      </c>
    </row>
    <row r="67" spans="1:8" ht="14">
      <c r="A67" s="59">
        <v>43473</v>
      </c>
      <c r="B67" s="60"/>
      <c r="C67" s="60">
        <v>58429</v>
      </c>
      <c r="D67" s="60">
        <v>428778</v>
      </c>
      <c r="E67" s="61" t="s">
        <v>79</v>
      </c>
      <c r="F67" s="62" t="s">
        <v>64</v>
      </c>
      <c r="G67" s="63" t="s">
        <v>68</v>
      </c>
      <c r="H67" s="61" t="s">
        <v>39</v>
      </c>
    </row>
    <row r="68" spans="1:8" ht="14">
      <c r="A68" s="59">
        <v>43473</v>
      </c>
      <c r="B68" s="60"/>
      <c r="C68" s="60">
        <v>216</v>
      </c>
      <c r="D68" s="60">
        <v>428562</v>
      </c>
      <c r="E68" s="61" t="s">
        <v>49</v>
      </c>
      <c r="F68" s="62" t="s">
        <v>64</v>
      </c>
      <c r="G68" s="63" t="s">
        <v>68</v>
      </c>
      <c r="H68" s="61" t="s">
        <v>49</v>
      </c>
    </row>
    <row r="69" spans="1:8" ht="14">
      <c r="A69" s="59">
        <v>43514</v>
      </c>
      <c r="B69" s="60">
        <v>1</v>
      </c>
      <c r="C69" s="60"/>
      <c r="D69" s="60">
        <v>428563</v>
      </c>
      <c r="E69" s="61" t="s">
        <v>67</v>
      </c>
      <c r="F69" s="62" t="s">
        <v>64</v>
      </c>
      <c r="G69" s="63" t="s">
        <v>68</v>
      </c>
      <c r="H69" s="61" t="s">
        <v>94</v>
      </c>
    </row>
    <row r="70" spans="1:8" ht="14">
      <c r="A70" s="59">
        <v>43522</v>
      </c>
      <c r="B70" s="60"/>
      <c r="C70" s="60">
        <v>428562</v>
      </c>
      <c r="D70" s="60">
        <v>1</v>
      </c>
      <c r="E70" s="61" t="s">
        <v>85</v>
      </c>
      <c r="F70" s="62" t="s">
        <v>64</v>
      </c>
      <c r="G70" s="63" t="s">
        <v>68</v>
      </c>
      <c r="H70" s="61" t="s">
        <v>85</v>
      </c>
    </row>
    <row r="71" spans="1:8" ht="14">
      <c r="A71" s="59">
        <v>43522</v>
      </c>
      <c r="B71" s="60"/>
      <c r="C71" s="60">
        <v>1</v>
      </c>
      <c r="D71" s="60">
        <v>0</v>
      </c>
      <c r="E71" s="61" t="s">
        <v>85</v>
      </c>
      <c r="F71" s="62" t="s">
        <v>64</v>
      </c>
      <c r="G71" s="63" t="s">
        <v>68</v>
      </c>
      <c r="H71" s="61" t="s">
        <v>85</v>
      </c>
    </row>
  </sheetData>
  <mergeCells count="4">
    <mergeCell ref="A1:H1"/>
    <mergeCell ref="A3:C3"/>
    <mergeCell ref="G3:H3"/>
    <mergeCell ref="G4:H4"/>
  </mergeCells>
  <phoneticPr fontId="26"/>
  <printOptions horizontalCentered="1"/>
  <pageMargins left="0.70000000000000007" right="0.70000000000000007" top="0.75" bottom="0.75" header="0.30000000000000004" footer="0.30000000000000004"/>
  <pageSetup paperSize="0" scale="71" fitToWidth="0" fitToHeight="0" pageOrder="overThenDown" orientation="portrait" useFirstPageNumber="1" horizontalDpi="0" verticalDpi="0" copies="0"/>
  <headerFooter>
    <oddHeader>&amp;C&amp;A</oddHeader>
    <oddFooter>&amp;Cページ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/>
  </sheetViews>
  <sheetFormatPr defaultRowHeight="14.15"/>
  <cols>
    <col min="1" max="1" width="12.6328125" customWidth="1"/>
    <col min="2" max="2" width="10.453125" customWidth="1"/>
    <col min="3" max="3" width="10.453125" style="51" customWidth="1"/>
    <col min="4" max="4" width="23" customWidth="1"/>
    <col min="5" max="5" width="6.6328125" style="67" customWidth="1"/>
    <col min="6" max="6" width="7.1796875" style="67" customWidth="1"/>
    <col min="7" max="7" width="11.81640625" style="68" customWidth="1"/>
    <col min="8" max="8" width="8.7265625" customWidth="1"/>
  </cols>
  <sheetData>
    <row r="1" spans="1:8" ht="25.5" customHeight="1">
      <c r="A1" s="64" t="s">
        <v>95</v>
      </c>
      <c r="B1" s="64"/>
      <c r="C1" s="64"/>
      <c r="D1" s="64"/>
      <c r="E1" s="64"/>
      <c r="F1" s="64"/>
      <c r="G1" s="64"/>
    </row>
    <row r="2" spans="1:8" ht="12.75" customHeight="1"/>
    <row r="3" spans="1:8" ht="13">
      <c r="A3" s="65">
        <f ca="1">TODAY()</f>
        <v>43537</v>
      </c>
      <c r="B3" s="65"/>
      <c r="C3" s="65"/>
      <c r="F3" s="95" t="s">
        <v>96</v>
      </c>
      <c r="G3" s="95"/>
    </row>
    <row r="4" spans="1:8" ht="13">
      <c r="A4" s="53"/>
      <c r="B4" s="53"/>
      <c r="C4" s="69"/>
      <c r="F4" s="95" t="s">
        <v>58</v>
      </c>
      <c r="G4" s="95"/>
    </row>
    <row r="5" spans="1:8" ht="15" customHeight="1"/>
    <row r="6" spans="1:8" ht="13">
      <c r="A6" s="70" t="s">
        <v>59</v>
      </c>
      <c r="B6" s="71" t="s">
        <v>97</v>
      </c>
      <c r="C6" s="72" t="s">
        <v>98</v>
      </c>
      <c r="D6" s="70" t="s">
        <v>63</v>
      </c>
      <c r="E6" s="70" t="s">
        <v>99</v>
      </c>
      <c r="F6" s="70" t="s">
        <v>65</v>
      </c>
      <c r="G6" s="73" t="s">
        <v>66</v>
      </c>
    </row>
    <row r="7" spans="1:8" ht="13">
      <c r="A7" s="74">
        <v>43442</v>
      </c>
      <c r="B7" s="75"/>
      <c r="C7" s="76">
        <f>日計!N6</f>
        <v>349</v>
      </c>
      <c r="D7" s="77" t="s">
        <v>100</v>
      </c>
      <c r="E7" s="70" t="s">
        <v>101</v>
      </c>
      <c r="F7" s="70" t="s">
        <v>102</v>
      </c>
      <c r="G7" s="73" t="s">
        <v>42</v>
      </c>
      <c r="H7" t="s">
        <v>103</v>
      </c>
    </row>
    <row r="8" spans="1:8" ht="13">
      <c r="A8" s="74">
        <v>43442</v>
      </c>
      <c r="B8" s="75"/>
      <c r="C8" s="76">
        <f>日計!N10</f>
        <v>360</v>
      </c>
      <c r="D8" s="77" t="s">
        <v>100</v>
      </c>
      <c r="E8" s="70" t="s">
        <v>101</v>
      </c>
      <c r="F8" s="70" t="s">
        <v>102</v>
      </c>
      <c r="G8" s="73" t="s">
        <v>42</v>
      </c>
      <c r="H8" t="s">
        <v>103</v>
      </c>
    </row>
    <row r="9" spans="1:8" ht="13">
      <c r="A9" s="74">
        <v>43442</v>
      </c>
      <c r="B9" s="75"/>
      <c r="C9" s="76">
        <f>日計!N22</f>
        <v>5680</v>
      </c>
      <c r="D9" s="77" t="s">
        <v>100</v>
      </c>
      <c r="E9" s="70" t="s">
        <v>101</v>
      </c>
      <c r="F9" s="70" t="s">
        <v>102</v>
      </c>
      <c r="G9" s="73" t="s">
        <v>42</v>
      </c>
      <c r="H9" t="s">
        <v>103</v>
      </c>
    </row>
    <row r="10" spans="1:8" ht="13">
      <c r="A10" s="74">
        <v>43442</v>
      </c>
      <c r="B10" s="78"/>
      <c r="C10" s="79">
        <f>日計!N4</f>
        <v>1080</v>
      </c>
      <c r="D10" s="77" t="s">
        <v>100</v>
      </c>
      <c r="E10" s="80" t="s">
        <v>101</v>
      </c>
      <c r="F10" s="80" t="s">
        <v>102</v>
      </c>
      <c r="G10" s="73" t="s">
        <v>42</v>
      </c>
      <c r="H10" t="s">
        <v>103</v>
      </c>
    </row>
    <row r="11" spans="1:8" ht="13">
      <c r="A11" s="74">
        <v>43442</v>
      </c>
      <c r="B11" s="75"/>
      <c r="C11" s="76">
        <f>日計!N17</f>
        <v>240</v>
      </c>
      <c r="D11" s="77" t="s">
        <v>100</v>
      </c>
      <c r="E11" s="70" t="s">
        <v>101</v>
      </c>
      <c r="F11" s="70" t="s">
        <v>102</v>
      </c>
      <c r="G11" s="73" t="s">
        <v>42</v>
      </c>
      <c r="H11" t="s">
        <v>103</v>
      </c>
    </row>
    <row r="12" spans="1:8" ht="13">
      <c r="A12" s="74">
        <v>43442</v>
      </c>
      <c r="B12" s="75"/>
      <c r="C12" s="76">
        <f>日計!N11</f>
        <v>920</v>
      </c>
      <c r="D12" s="77" t="s">
        <v>100</v>
      </c>
      <c r="E12" s="70" t="s">
        <v>101</v>
      </c>
      <c r="F12" s="70" t="s">
        <v>102</v>
      </c>
      <c r="G12" s="73" t="s">
        <v>42</v>
      </c>
      <c r="H12" t="s">
        <v>103</v>
      </c>
    </row>
    <row r="13" spans="1:8" ht="13">
      <c r="A13" s="74">
        <v>43442</v>
      </c>
      <c r="B13" s="75"/>
      <c r="C13" s="76">
        <f>日計!K22</f>
        <v>308</v>
      </c>
      <c r="D13" s="77" t="s">
        <v>104</v>
      </c>
      <c r="E13" s="70" t="s">
        <v>101</v>
      </c>
      <c r="F13" s="70" t="s">
        <v>102</v>
      </c>
      <c r="G13" s="73" t="s">
        <v>105</v>
      </c>
      <c r="H13" t="s">
        <v>103</v>
      </c>
    </row>
    <row r="14" spans="1:8" ht="13">
      <c r="A14" s="74">
        <v>43442</v>
      </c>
      <c r="B14" s="75"/>
      <c r="C14" s="76">
        <f>日計!J22</f>
        <v>1080</v>
      </c>
      <c r="D14" s="77" t="s">
        <v>106</v>
      </c>
      <c r="E14" s="70" t="s">
        <v>101</v>
      </c>
      <c r="F14" s="70" t="s">
        <v>102</v>
      </c>
      <c r="G14" s="73" t="s">
        <v>46</v>
      </c>
      <c r="H14" t="s">
        <v>103</v>
      </c>
    </row>
    <row r="15" spans="1:8" ht="13">
      <c r="A15" s="74">
        <v>43442</v>
      </c>
      <c r="B15" s="75"/>
      <c r="C15" s="76">
        <f>日計!I22</f>
        <v>140</v>
      </c>
      <c r="D15" s="77" t="s">
        <v>107</v>
      </c>
      <c r="E15" s="70" t="s">
        <v>101</v>
      </c>
      <c r="F15" s="70" t="s">
        <v>102</v>
      </c>
      <c r="G15" s="73" t="s">
        <v>39</v>
      </c>
      <c r="H15" t="s">
        <v>103</v>
      </c>
    </row>
    <row r="16" spans="1:8" ht="13">
      <c r="A16" s="74">
        <v>43442</v>
      </c>
      <c r="B16" s="75"/>
      <c r="C16" s="76">
        <f>日計!I15</f>
        <v>28038</v>
      </c>
      <c r="D16" s="77" t="s">
        <v>107</v>
      </c>
      <c r="E16" s="70" t="s">
        <v>101</v>
      </c>
      <c r="F16" s="70" t="s">
        <v>102</v>
      </c>
      <c r="G16" s="73" t="s">
        <v>39</v>
      </c>
      <c r="H16" t="s">
        <v>103</v>
      </c>
    </row>
    <row r="17" spans="1:8" ht="13">
      <c r="A17" s="74">
        <v>43442</v>
      </c>
      <c r="B17" s="75"/>
      <c r="C17" s="76">
        <f>日計!N15</f>
        <v>360</v>
      </c>
      <c r="D17" s="73" t="s">
        <v>100</v>
      </c>
      <c r="E17" s="70" t="s">
        <v>101</v>
      </c>
      <c r="F17" s="70" t="s">
        <v>102</v>
      </c>
      <c r="G17" s="73" t="s">
        <v>42</v>
      </c>
      <c r="H17" t="s">
        <v>103</v>
      </c>
    </row>
    <row r="18" spans="1:8" ht="13">
      <c r="A18" s="74">
        <v>43442</v>
      </c>
      <c r="B18" s="75"/>
      <c r="C18" s="76">
        <f>日計!N18</f>
        <v>240</v>
      </c>
      <c r="D18" s="73" t="s">
        <v>100</v>
      </c>
      <c r="E18" s="70" t="s">
        <v>101</v>
      </c>
      <c r="F18" s="70" t="s">
        <v>102</v>
      </c>
      <c r="G18" s="73" t="s">
        <v>42</v>
      </c>
      <c r="H18" t="s">
        <v>103</v>
      </c>
    </row>
    <row r="19" spans="1:8" ht="13">
      <c r="A19" s="74">
        <v>43442</v>
      </c>
      <c r="B19" s="75"/>
      <c r="C19" s="76">
        <f>日計!N5</f>
        <v>978</v>
      </c>
      <c r="D19" s="73" t="s">
        <v>100</v>
      </c>
      <c r="E19" s="70" t="s">
        <v>101</v>
      </c>
      <c r="F19" s="70" t="s">
        <v>102</v>
      </c>
      <c r="G19" s="73" t="s">
        <v>42</v>
      </c>
      <c r="H19" t="s">
        <v>103</v>
      </c>
    </row>
    <row r="20" spans="1:8" ht="13">
      <c r="A20" s="74">
        <v>43442</v>
      </c>
      <c r="B20" s="75"/>
      <c r="C20" s="76">
        <f>日計!N19</f>
        <v>340</v>
      </c>
      <c r="D20" s="73" t="s">
        <v>100</v>
      </c>
      <c r="E20" s="70" t="s">
        <v>101</v>
      </c>
      <c r="F20" s="70" t="s">
        <v>102</v>
      </c>
      <c r="G20" s="73" t="s">
        <v>42</v>
      </c>
      <c r="H20" t="s">
        <v>103</v>
      </c>
    </row>
    <row r="21" spans="1:8" ht="13">
      <c r="A21" s="74">
        <v>43442</v>
      </c>
      <c r="B21" s="75"/>
      <c r="C21" s="76">
        <f>日計!K19</f>
        <v>1447</v>
      </c>
      <c r="D21" s="77" t="s">
        <v>108</v>
      </c>
      <c r="E21" s="70" t="s">
        <v>101</v>
      </c>
      <c r="F21" s="70" t="s">
        <v>102</v>
      </c>
      <c r="G21" s="73" t="s">
        <v>105</v>
      </c>
      <c r="H21" t="s">
        <v>103</v>
      </c>
    </row>
    <row r="22" spans="1:8" ht="13">
      <c r="A22" s="74">
        <v>43442</v>
      </c>
      <c r="B22" s="75"/>
      <c r="C22" s="76">
        <f>日計!N12</f>
        <v>24680</v>
      </c>
      <c r="D22" s="77" t="s">
        <v>100</v>
      </c>
      <c r="E22" s="70" t="s">
        <v>101</v>
      </c>
      <c r="F22" s="70" t="s">
        <v>102</v>
      </c>
      <c r="G22" s="73" t="s">
        <v>42</v>
      </c>
      <c r="H22" t="s">
        <v>103</v>
      </c>
    </row>
    <row r="23" spans="1:8" ht="13">
      <c r="A23" s="74">
        <v>43442</v>
      </c>
      <c r="B23" s="75"/>
      <c r="C23" s="76">
        <f>4130+4130</f>
        <v>8260</v>
      </c>
      <c r="D23" s="77" t="s">
        <v>109</v>
      </c>
      <c r="E23" s="70" t="s">
        <v>101</v>
      </c>
      <c r="F23" s="70" t="s">
        <v>102</v>
      </c>
      <c r="G23" s="73" t="s">
        <v>39</v>
      </c>
      <c r="H23" t="s">
        <v>103</v>
      </c>
    </row>
    <row r="24" spans="1:8" ht="13">
      <c r="A24" s="74">
        <v>43442</v>
      </c>
      <c r="B24" s="75"/>
      <c r="C24" s="76">
        <f>日計!N16</f>
        <v>720</v>
      </c>
      <c r="D24" s="77" t="s">
        <v>100</v>
      </c>
      <c r="E24" s="70" t="s">
        <v>101</v>
      </c>
      <c r="F24" s="70" t="s">
        <v>102</v>
      </c>
      <c r="G24" s="73" t="s">
        <v>42</v>
      </c>
      <c r="H24" t="s">
        <v>103</v>
      </c>
    </row>
    <row r="25" spans="1:8" ht="13">
      <c r="A25" s="74">
        <v>43442</v>
      </c>
      <c r="B25" s="75"/>
      <c r="C25" s="76">
        <f>日計!N13</f>
        <v>1590</v>
      </c>
      <c r="D25" s="77" t="s">
        <v>100</v>
      </c>
      <c r="E25" s="70" t="s">
        <v>101</v>
      </c>
      <c r="F25" s="70" t="s">
        <v>102</v>
      </c>
      <c r="G25" s="73" t="s">
        <v>42</v>
      </c>
      <c r="H25" t="s">
        <v>103</v>
      </c>
    </row>
    <row r="26" spans="1:8" ht="13">
      <c r="A26" s="74">
        <v>43443</v>
      </c>
      <c r="B26" s="75"/>
      <c r="C26" s="76">
        <f>日計!U4</f>
        <v>540</v>
      </c>
      <c r="D26" s="77" t="s">
        <v>100</v>
      </c>
      <c r="E26" s="70" t="s">
        <v>101</v>
      </c>
      <c r="F26" s="70" t="s">
        <v>102</v>
      </c>
      <c r="G26" s="73" t="s">
        <v>42</v>
      </c>
      <c r="H26" t="s">
        <v>103</v>
      </c>
    </row>
    <row r="27" spans="1:8" ht="13">
      <c r="A27" s="74">
        <v>43443</v>
      </c>
      <c r="B27" s="75"/>
      <c r="C27" s="76">
        <f>日計!U8</f>
        <v>1620</v>
      </c>
      <c r="D27" s="77" t="s">
        <v>100</v>
      </c>
      <c r="E27" s="70" t="s">
        <v>101</v>
      </c>
      <c r="F27" s="70" t="s">
        <v>102</v>
      </c>
      <c r="G27" s="73" t="s">
        <v>42</v>
      </c>
      <c r="H27" t="s">
        <v>103</v>
      </c>
    </row>
    <row r="28" spans="1:8" ht="13">
      <c r="A28" s="74">
        <v>43443</v>
      </c>
      <c r="B28" s="75"/>
      <c r="C28" s="76">
        <f>日計!V7</f>
        <v>730</v>
      </c>
      <c r="D28" s="77" t="s">
        <v>110</v>
      </c>
      <c r="E28" s="70" t="s">
        <v>101</v>
      </c>
      <c r="F28" s="70" t="s">
        <v>102</v>
      </c>
      <c r="G28" s="73" t="s">
        <v>46</v>
      </c>
      <c r="H28" t="s">
        <v>103</v>
      </c>
    </row>
    <row r="29" spans="1:8" ht="13">
      <c r="A29" s="74">
        <v>43443</v>
      </c>
      <c r="B29" s="75"/>
      <c r="C29" s="76">
        <f>日計!U15</f>
        <v>1080</v>
      </c>
      <c r="D29" s="77" t="s">
        <v>100</v>
      </c>
      <c r="E29" s="70" t="s">
        <v>101</v>
      </c>
      <c r="F29" s="70" t="s">
        <v>102</v>
      </c>
      <c r="G29" s="73" t="s">
        <v>42</v>
      </c>
      <c r="H29" t="s">
        <v>103</v>
      </c>
    </row>
    <row r="30" spans="1:8" ht="13">
      <c r="A30" s="74">
        <v>43443</v>
      </c>
      <c r="B30" s="75"/>
      <c r="C30" s="76">
        <f>日計!G28+日計!G29</f>
        <v>45988</v>
      </c>
      <c r="D30" s="73" t="s">
        <v>111</v>
      </c>
      <c r="E30" s="70" t="s">
        <v>101</v>
      </c>
      <c r="F30" s="70" t="s">
        <v>102</v>
      </c>
      <c r="G30" s="73" t="s">
        <v>13</v>
      </c>
      <c r="H30" t="s">
        <v>103</v>
      </c>
    </row>
    <row r="31" spans="1:8" ht="13">
      <c r="A31" s="74">
        <v>43443</v>
      </c>
      <c r="B31" s="75"/>
      <c r="C31" s="76">
        <f>日計!E30+日計!F30+日計!E31+日計!F31</f>
        <v>12000</v>
      </c>
      <c r="D31" s="73" t="s">
        <v>112</v>
      </c>
      <c r="E31" s="70" t="s">
        <v>101</v>
      </c>
      <c r="F31" s="70" t="s">
        <v>102</v>
      </c>
      <c r="G31" s="73" t="s">
        <v>113</v>
      </c>
    </row>
    <row r="32" spans="1:8" ht="13">
      <c r="A32" s="74">
        <v>43443</v>
      </c>
      <c r="B32" s="75"/>
      <c r="C32" s="76">
        <f>日計!D30+日計!D31</f>
        <v>30400</v>
      </c>
      <c r="D32" s="73" t="s">
        <v>114</v>
      </c>
      <c r="E32" s="70" t="s">
        <v>101</v>
      </c>
      <c r="F32" s="70" t="s">
        <v>102</v>
      </c>
      <c r="G32" s="73" t="s">
        <v>115</v>
      </c>
      <c r="H32" t="s">
        <v>103</v>
      </c>
    </row>
    <row r="33" spans="1:8" ht="13">
      <c r="A33" s="74">
        <v>43443</v>
      </c>
      <c r="B33" s="75"/>
      <c r="C33" s="76">
        <f>日計!G24</f>
        <v>80000</v>
      </c>
      <c r="D33" s="73" t="s">
        <v>116</v>
      </c>
      <c r="E33" s="70" t="s">
        <v>101</v>
      </c>
      <c r="F33" s="70" t="s">
        <v>102</v>
      </c>
      <c r="G33" s="73" t="s">
        <v>113</v>
      </c>
    </row>
    <row r="34" spans="1:8" ht="13">
      <c r="A34" s="74">
        <v>43443</v>
      </c>
      <c r="B34" s="75"/>
      <c r="C34" s="76">
        <f>日計!G27</f>
        <v>7000</v>
      </c>
      <c r="D34" s="73" t="s">
        <v>117</v>
      </c>
      <c r="E34" s="70" t="s">
        <v>101</v>
      </c>
      <c r="F34" s="70" t="s">
        <v>102</v>
      </c>
      <c r="G34" s="73" t="s">
        <v>113</v>
      </c>
      <c r="H34" t="s">
        <v>103</v>
      </c>
    </row>
    <row r="35" spans="1:8" ht="13">
      <c r="A35" s="74">
        <v>43451</v>
      </c>
      <c r="B35" s="75"/>
      <c r="C35" s="76">
        <f>日計!AB4</f>
        <v>360</v>
      </c>
      <c r="D35" s="77" t="s">
        <v>100</v>
      </c>
      <c r="E35" s="70" t="s">
        <v>101</v>
      </c>
      <c r="F35" s="70" t="s">
        <v>102</v>
      </c>
      <c r="G35" s="73" t="s">
        <v>42</v>
      </c>
    </row>
    <row r="36" spans="1:8" ht="13">
      <c r="A36" s="74">
        <v>43451</v>
      </c>
      <c r="B36" s="75"/>
      <c r="C36" s="76">
        <f>日計!AB5</f>
        <v>650</v>
      </c>
      <c r="D36" s="77" t="s">
        <v>100</v>
      </c>
      <c r="E36" s="70" t="s">
        <v>101</v>
      </c>
      <c r="F36" s="70" t="s">
        <v>102</v>
      </c>
      <c r="G36" s="73" t="s">
        <v>42</v>
      </c>
    </row>
    <row r="37" spans="1:8" ht="13">
      <c r="A37" s="74">
        <v>43451</v>
      </c>
      <c r="B37" s="75"/>
      <c r="C37" s="76">
        <f>日計!AB6</f>
        <v>370</v>
      </c>
      <c r="D37" s="77" t="s">
        <v>100</v>
      </c>
      <c r="E37" s="70" t="s">
        <v>101</v>
      </c>
      <c r="F37" s="70" t="s">
        <v>102</v>
      </c>
      <c r="G37" s="73" t="s">
        <v>42</v>
      </c>
    </row>
    <row r="38" spans="1:8" ht="13">
      <c r="A38" s="74">
        <v>43451</v>
      </c>
      <c r="B38" s="75"/>
      <c r="C38" s="76">
        <f>日計!AB13</f>
        <v>3200</v>
      </c>
      <c r="D38" s="77" t="s">
        <v>100</v>
      </c>
      <c r="E38" s="70" t="s">
        <v>101</v>
      </c>
      <c r="F38" s="70" t="s">
        <v>102</v>
      </c>
      <c r="G38" s="73" t="s">
        <v>42</v>
      </c>
    </row>
    <row r="39" spans="1:8" ht="13">
      <c r="A39" s="74">
        <v>43451</v>
      </c>
      <c r="B39" s="75"/>
      <c r="C39" s="76">
        <f>日計!AB17</f>
        <v>240</v>
      </c>
      <c r="D39" s="77" t="s">
        <v>100</v>
      </c>
      <c r="E39" s="70" t="s">
        <v>101</v>
      </c>
      <c r="F39" s="70" t="s">
        <v>102</v>
      </c>
      <c r="G39" s="73" t="s">
        <v>42</v>
      </c>
    </row>
    <row r="40" spans="1:8" ht="13">
      <c r="A40" s="74">
        <v>43451</v>
      </c>
      <c r="B40" s="75"/>
      <c r="C40" s="76">
        <f>日計!AB18</f>
        <v>240</v>
      </c>
      <c r="D40" s="77" t="s">
        <v>100</v>
      </c>
      <c r="E40" s="70" t="s">
        <v>101</v>
      </c>
      <c r="F40" s="70" t="s">
        <v>102</v>
      </c>
      <c r="G40" s="73" t="s">
        <v>42</v>
      </c>
    </row>
    <row r="41" spans="1:8" ht="13">
      <c r="A41" s="74">
        <v>43451</v>
      </c>
      <c r="B41" s="75"/>
      <c r="C41" s="76">
        <f>日計!AB19</f>
        <v>560</v>
      </c>
      <c r="D41" s="77" t="s">
        <v>100</v>
      </c>
      <c r="E41" s="70" t="s">
        <v>101</v>
      </c>
      <c r="F41" s="70" t="s">
        <v>102</v>
      </c>
      <c r="G41" s="73" t="s">
        <v>42</v>
      </c>
    </row>
    <row r="42" spans="1:8" ht="13">
      <c r="A42" s="74">
        <v>43451</v>
      </c>
      <c r="B42" s="75"/>
      <c r="C42" s="76">
        <f>日計!AB22</f>
        <v>280</v>
      </c>
      <c r="D42" s="77" t="s">
        <v>100</v>
      </c>
      <c r="E42" s="70" t="s">
        <v>101</v>
      </c>
      <c r="F42" s="70" t="s">
        <v>102</v>
      </c>
      <c r="G42" s="73" t="s">
        <v>42</v>
      </c>
    </row>
    <row r="43" spans="1:8" ht="13">
      <c r="A43" s="74">
        <v>43451</v>
      </c>
      <c r="B43" s="75"/>
      <c r="C43" s="76">
        <f>日計!AD15</f>
        <v>4206</v>
      </c>
      <c r="D43" s="77" t="s">
        <v>107</v>
      </c>
      <c r="E43" s="70" t="s">
        <v>101</v>
      </c>
      <c r="F43" s="70" t="s">
        <v>102</v>
      </c>
      <c r="G43" s="73" t="s">
        <v>39</v>
      </c>
    </row>
    <row r="44" spans="1:8" ht="13">
      <c r="A44" s="74">
        <v>43453</v>
      </c>
      <c r="B44" s="75"/>
      <c r="C44" s="76">
        <f>日計!AB11</f>
        <v>1170</v>
      </c>
      <c r="D44" s="77" t="s">
        <v>100</v>
      </c>
      <c r="E44" s="70" t="s">
        <v>101</v>
      </c>
      <c r="F44" s="70" t="s">
        <v>102</v>
      </c>
      <c r="G44" s="73" t="s">
        <v>42</v>
      </c>
    </row>
    <row r="45" spans="1:8" ht="13">
      <c r="B45" s="81">
        <f>SUM(B14:B30)</f>
        <v>0</v>
      </c>
      <c r="C45" s="51">
        <f>SUM(C7:C44)</f>
        <v>267444</v>
      </c>
    </row>
    <row r="46" spans="1:8" ht="13"/>
    <row r="47" spans="1:8" ht="13">
      <c r="A47" s="82" t="s">
        <v>59</v>
      </c>
      <c r="B47" s="70" t="s">
        <v>118</v>
      </c>
      <c r="C47" s="72" t="s">
        <v>119</v>
      </c>
    </row>
    <row r="48" spans="1:8" ht="13">
      <c r="A48" s="83">
        <v>43440</v>
      </c>
      <c r="B48" s="75"/>
      <c r="C48" s="76">
        <v>500000</v>
      </c>
    </row>
    <row r="49" spans="1:8" ht="13">
      <c r="A49" s="84"/>
      <c r="B49" s="75"/>
      <c r="C49" s="76"/>
    </row>
    <row r="50" spans="1:8" ht="13">
      <c r="B50" s="81">
        <f>SUM(B48:B49)</f>
        <v>0</v>
      </c>
      <c r="C50" s="51">
        <f>SUM(C48:C49)</f>
        <v>500000</v>
      </c>
    </row>
    <row r="51" spans="1:8" ht="13"/>
    <row r="52" spans="1:8" ht="13">
      <c r="A52" s="96" t="s">
        <v>120</v>
      </c>
      <c r="B52" s="96"/>
      <c r="C52" s="85"/>
      <c r="D52" s="70" t="s">
        <v>121</v>
      </c>
      <c r="E52" s="86"/>
      <c r="F52" s="96" t="s">
        <v>122</v>
      </c>
      <c r="G52" s="96"/>
    </row>
    <row r="53" spans="1:8" ht="13">
      <c r="A53" s="97">
        <f>500000</f>
        <v>500000</v>
      </c>
      <c r="B53" s="97"/>
      <c r="C53" s="87" t="s">
        <v>123</v>
      </c>
      <c r="D53" s="97">
        <f>C45+B45</f>
        <v>267444</v>
      </c>
      <c r="E53" s="88" t="s">
        <v>124</v>
      </c>
      <c r="F53" s="97">
        <f>A53-D53</f>
        <v>232556</v>
      </c>
      <c r="G53" s="97"/>
      <c r="H53" s="89">
        <v>232556</v>
      </c>
    </row>
    <row r="54" spans="1:8" ht="13">
      <c r="A54" s="97"/>
      <c r="B54" s="97"/>
      <c r="C54" s="90"/>
      <c r="D54" s="97"/>
      <c r="E54" s="80"/>
      <c r="F54" s="97"/>
      <c r="G54" s="97"/>
      <c r="H54" s="91">
        <f>F53-H53</f>
        <v>0</v>
      </c>
    </row>
    <row r="55" spans="1:8" ht="13">
      <c r="D55" s="92"/>
      <c r="G55" s="93"/>
      <c r="H55" s="67" t="s">
        <v>125</v>
      </c>
    </row>
    <row r="56" spans="1:8" ht="13">
      <c r="G56" s="94"/>
    </row>
    <row r="57" spans="1:8" ht="13"/>
    <row r="58" spans="1:8" ht="13">
      <c r="D58" s="92"/>
    </row>
  </sheetData>
  <mergeCells count="9">
    <mergeCell ref="A53:B54"/>
    <mergeCell ref="D53:D54"/>
    <mergeCell ref="F53:G54"/>
    <mergeCell ref="A1:G1"/>
    <mergeCell ref="A3:C3"/>
    <mergeCell ref="F3:G3"/>
    <mergeCell ref="F4:G4"/>
    <mergeCell ref="A52:B52"/>
    <mergeCell ref="F52:G52"/>
  </mergeCells>
  <phoneticPr fontId="26"/>
  <printOptions horizontalCentered="1"/>
  <pageMargins left="0" right="0" top="0.39370078740157505" bottom="0.39370078740157505" header="0" footer="0"/>
  <pageSetup paperSize="0" fitToWidth="0" fitToHeight="0" pageOrder="overThenDown" orientation="portrait" useFirstPageNumber="1" horizontalDpi="0" verticalDpi="0" copies="0"/>
  <headerFooter>
    <oddHeader>&amp;C&amp;A</oddHeader>
    <oddFooter>&amp;Cページ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topLeftCell="B1" workbookViewId="0"/>
  </sheetViews>
  <sheetFormatPr defaultRowHeight="14.15"/>
  <cols>
    <col min="1" max="1" width="3.08984375" hidden="1" customWidth="1"/>
    <col min="2" max="2" width="5" style="98" customWidth="1"/>
    <col min="3" max="3" width="18.6328125" style="98" customWidth="1"/>
    <col min="4" max="4" width="10.36328125" style="100" customWidth="1"/>
    <col min="5" max="5" width="9.6328125" style="100" customWidth="1"/>
    <col min="6" max="6" width="10.1796875" style="100" customWidth="1"/>
    <col min="7" max="7" width="11.453125" style="124" customWidth="1"/>
    <col min="8" max="13" width="9.08984375" style="124" customWidth="1"/>
    <col min="14" max="21" width="8.54296875" style="124" customWidth="1"/>
    <col min="22" max="22" width="14" style="124" customWidth="1"/>
    <col min="23" max="23" width="8.54296875" style="124" customWidth="1"/>
    <col min="24" max="25" width="8.54296875" customWidth="1"/>
    <col min="26" max="28" width="8.54296875" style="124" customWidth="1"/>
    <col min="29" max="31" width="8.54296875" customWidth="1"/>
    <col min="32" max="32" width="10.453125" customWidth="1"/>
    <col min="33" max="34" width="5.54296875" customWidth="1"/>
    <col min="35" max="35" width="8.7265625" customWidth="1"/>
    <col min="36" max="36" width="9.81640625" customWidth="1"/>
    <col min="37" max="37" width="8.81640625" style="100" customWidth="1"/>
    <col min="38" max="38" width="8.7265625" customWidth="1"/>
  </cols>
  <sheetData>
    <row r="1" spans="1:34" ht="13">
      <c r="D1" s="135" t="s">
        <v>42</v>
      </c>
      <c r="E1" s="135" t="s">
        <v>126</v>
      </c>
      <c r="F1" s="135" t="s">
        <v>127</v>
      </c>
      <c r="G1" s="135" t="s">
        <v>47</v>
      </c>
      <c r="H1" s="135" t="s">
        <v>128</v>
      </c>
      <c r="I1" s="135"/>
      <c r="J1" s="135"/>
      <c r="K1" s="135"/>
      <c r="L1" s="135"/>
      <c r="M1" s="135"/>
      <c r="N1" s="135" t="s">
        <v>129</v>
      </c>
      <c r="O1" s="135"/>
      <c r="P1" s="135"/>
      <c r="Q1" s="135"/>
      <c r="R1" s="135"/>
      <c r="S1" s="135"/>
      <c r="T1" s="135"/>
      <c r="U1" s="135" t="s">
        <v>130</v>
      </c>
      <c r="V1" s="135"/>
      <c r="W1" s="135"/>
      <c r="X1" s="135"/>
      <c r="Y1" s="135"/>
      <c r="Z1" s="135" t="s">
        <v>131</v>
      </c>
      <c r="AA1" s="135"/>
      <c r="AB1" s="135"/>
      <c r="AC1" s="135"/>
      <c r="AD1" s="135"/>
      <c r="AE1" s="135"/>
      <c r="AF1" s="135" t="s">
        <v>26</v>
      </c>
    </row>
    <row r="2" spans="1:34" ht="13">
      <c r="A2" s="101"/>
      <c r="B2" s="101"/>
      <c r="C2" s="102" t="s">
        <v>132</v>
      </c>
      <c r="D2" s="135"/>
      <c r="E2" s="135"/>
      <c r="F2" s="135"/>
      <c r="G2" s="135"/>
      <c r="H2" s="103" t="s">
        <v>133</v>
      </c>
      <c r="I2" s="103" t="s">
        <v>134</v>
      </c>
      <c r="J2" s="103" t="s">
        <v>46</v>
      </c>
      <c r="K2" s="103" t="s">
        <v>135</v>
      </c>
      <c r="L2" s="103" t="s">
        <v>136</v>
      </c>
      <c r="M2" s="104" t="s">
        <v>137</v>
      </c>
      <c r="N2" s="99" t="s">
        <v>133</v>
      </c>
      <c r="O2" s="99" t="s">
        <v>126</v>
      </c>
      <c r="P2" s="99" t="s">
        <v>135</v>
      </c>
      <c r="Q2" s="99" t="s">
        <v>136</v>
      </c>
      <c r="R2" s="99" t="s">
        <v>9</v>
      </c>
      <c r="S2" s="105" t="s">
        <v>69</v>
      </c>
      <c r="T2" s="104" t="s">
        <v>137</v>
      </c>
      <c r="U2" s="99" t="s">
        <v>133</v>
      </c>
      <c r="V2" s="103" t="s">
        <v>126</v>
      </c>
      <c r="W2" s="99" t="s">
        <v>135</v>
      </c>
      <c r="X2" s="103" t="s">
        <v>134</v>
      </c>
      <c r="Y2" s="104" t="s">
        <v>137</v>
      </c>
      <c r="Z2" s="103" t="s">
        <v>138</v>
      </c>
      <c r="AA2" s="99" t="s">
        <v>126</v>
      </c>
      <c r="AB2" s="103" t="s">
        <v>42</v>
      </c>
      <c r="AC2" s="103" t="s">
        <v>135</v>
      </c>
      <c r="AD2" s="103" t="s">
        <v>134</v>
      </c>
      <c r="AE2" s="104" t="s">
        <v>137</v>
      </c>
      <c r="AF2" s="135"/>
      <c r="AG2" s="106"/>
      <c r="AH2" s="106"/>
    </row>
    <row r="3" spans="1:34" ht="15" customHeight="1">
      <c r="A3" s="107"/>
      <c r="B3" s="136" t="s">
        <v>139</v>
      </c>
      <c r="C3" s="108" t="s">
        <v>140</v>
      </c>
      <c r="D3" s="109"/>
      <c r="E3" s="110">
        <v>1000</v>
      </c>
      <c r="F3" s="110">
        <v>3000</v>
      </c>
      <c r="G3" s="111">
        <f t="shared" ref="G3:G19" si="0">SUM(D3:F3)</f>
        <v>4000</v>
      </c>
      <c r="H3" s="112"/>
      <c r="I3" s="112"/>
      <c r="J3" s="112"/>
      <c r="K3" s="112"/>
      <c r="L3" s="112"/>
      <c r="M3" s="113">
        <f t="shared" ref="M3:M23" si="1">SUM(H3:L3)</f>
        <v>0</v>
      </c>
      <c r="N3" s="114"/>
      <c r="O3" s="114"/>
      <c r="P3" s="112"/>
      <c r="Q3" s="112"/>
      <c r="R3" s="112"/>
      <c r="S3" s="112"/>
      <c r="T3" s="113">
        <f t="shared" ref="T3:T23" si="2">SUM(N3:S3)</f>
        <v>0</v>
      </c>
      <c r="U3" s="114"/>
      <c r="V3" s="112"/>
      <c r="W3" s="114"/>
      <c r="X3" s="112"/>
      <c r="Y3" s="113">
        <f t="shared" ref="Y3:Y23" si="3">SUM(U3:X3)</f>
        <v>0</v>
      </c>
      <c r="Z3" s="112"/>
      <c r="AA3" s="114"/>
      <c r="AB3" s="112"/>
      <c r="AC3" s="112"/>
      <c r="AD3" s="112"/>
      <c r="AE3" s="113">
        <f t="shared" ref="AE3:AE9" si="4">SUM(Z3:AC3)</f>
        <v>0</v>
      </c>
      <c r="AF3" s="111">
        <f t="shared" ref="AF3:AF14" si="5">SUM(M3,T3,G3,Y3)</f>
        <v>4000</v>
      </c>
    </row>
    <row r="4" spans="1:34" ht="13">
      <c r="A4" s="107"/>
      <c r="B4" s="136"/>
      <c r="C4" s="108" t="s">
        <v>141</v>
      </c>
      <c r="D4" s="109"/>
      <c r="E4" s="110">
        <v>1000</v>
      </c>
      <c r="F4" s="110">
        <v>3000</v>
      </c>
      <c r="G4" s="111">
        <f t="shared" si="0"/>
        <v>4000</v>
      </c>
      <c r="H4" s="112"/>
      <c r="I4" s="112"/>
      <c r="J4" s="112"/>
      <c r="K4" s="112"/>
      <c r="L4" s="112"/>
      <c r="M4" s="113">
        <f t="shared" si="1"/>
        <v>0</v>
      </c>
      <c r="N4" s="114">
        <f>540+540</f>
        <v>1080</v>
      </c>
      <c r="O4" s="114"/>
      <c r="P4" s="112"/>
      <c r="Q4" s="112"/>
      <c r="R4" s="112"/>
      <c r="S4" s="112"/>
      <c r="T4" s="113">
        <f t="shared" si="2"/>
        <v>1080</v>
      </c>
      <c r="U4" s="114">
        <f>540</f>
        <v>540</v>
      </c>
      <c r="V4" s="112"/>
      <c r="W4" s="114"/>
      <c r="X4" s="112"/>
      <c r="Y4" s="113">
        <f t="shared" si="3"/>
        <v>540</v>
      </c>
      <c r="Z4" s="112"/>
      <c r="AA4" s="114"/>
      <c r="AB4" s="114">
        <f>360</f>
        <v>360</v>
      </c>
      <c r="AC4" s="112"/>
      <c r="AD4" s="112"/>
      <c r="AE4" s="113">
        <f t="shared" si="4"/>
        <v>360</v>
      </c>
      <c r="AF4" s="111">
        <f t="shared" si="5"/>
        <v>5620</v>
      </c>
    </row>
    <row r="5" spans="1:34" ht="13">
      <c r="A5" s="107"/>
      <c r="B5" s="136"/>
      <c r="C5" s="108" t="s">
        <v>142</v>
      </c>
      <c r="D5" s="109"/>
      <c r="E5" s="110">
        <v>1000</v>
      </c>
      <c r="F5" s="110">
        <v>3000</v>
      </c>
      <c r="G5" s="111">
        <f t="shared" si="0"/>
        <v>4000</v>
      </c>
      <c r="H5" s="112"/>
      <c r="I5" s="112"/>
      <c r="J5" s="112"/>
      <c r="K5" s="112"/>
      <c r="L5" s="112"/>
      <c r="M5" s="113">
        <f t="shared" si="1"/>
        <v>0</v>
      </c>
      <c r="N5" s="114">
        <f>200+390+388</f>
        <v>978</v>
      </c>
      <c r="O5" s="114"/>
      <c r="P5" s="112"/>
      <c r="Q5" s="112"/>
      <c r="R5" s="112"/>
      <c r="S5" s="112"/>
      <c r="T5" s="113">
        <f t="shared" si="2"/>
        <v>978</v>
      </c>
      <c r="U5" s="114"/>
      <c r="V5" s="112"/>
      <c r="W5" s="114"/>
      <c r="X5" s="112"/>
      <c r="Y5" s="113">
        <f t="shared" si="3"/>
        <v>0</v>
      </c>
      <c r="Z5" s="112"/>
      <c r="AA5" s="114"/>
      <c r="AB5" s="112">
        <f>180+470</f>
        <v>650</v>
      </c>
      <c r="AC5" s="112"/>
      <c r="AD5" s="112"/>
      <c r="AE5" s="113">
        <f t="shared" si="4"/>
        <v>650</v>
      </c>
      <c r="AF5" s="111">
        <f t="shared" si="5"/>
        <v>4978</v>
      </c>
    </row>
    <row r="6" spans="1:34" ht="13">
      <c r="A6" s="107"/>
      <c r="B6" s="136"/>
      <c r="C6" s="108" t="s">
        <v>143</v>
      </c>
      <c r="D6" s="109"/>
      <c r="E6" s="110">
        <v>1000</v>
      </c>
      <c r="F6" s="110">
        <v>3000</v>
      </c>
      <c r="G6" s="111">
        <f t="shared" si="0"/>
        <v>4000</v>
      </c>
      <c r="H6" s="112"/>
      <c r="I6" s="112"/>
      <c r="J6" s="112"/>
      <c r="K6" s="112"/>
      <c r="L6" s="112"/>
      <c r="M6" s="113">
        <f t="shared" si="1"/>
        <v>0</v>
      </c>
      <c r="N6" s="112">
        <f>154+195</f>
        <v>349</v>
      </c>
      <c r="O6" s="114"/>
      <c r="P6" s="112"/>
      <c r="Q6" s="112"/>
      <c r="R6" s="112"/>
      <c r="S6" s="112"/>
      <c r="T6" s="113">
        <f t="shared" si="2"/>
        <v>349</v>
      </c>
      <c r="U6" s="114"/>
      <c r="V6" s="112"/>
      <c r="W6" s="114"/>
      <c r="X6" s="112"/>
      <c r="Y6" s="113">
        <f t="shared" si="3"/>
        <v>0</v>
      </c>
      <c r="Z6" s="112"/>
      <c r="AA6" s="114"/>
      <c r="AB6" s="112">
        <f>170+200</f>
        <v>370</v>
      </c>
      <c r="AC6" s="112"/>
      <c r="AD6" s="112"/>
      <c r="AE6" s="113">
        <f t="shared" si="4"/>
        <v>370</v>
      </c>
      <c r="AF6" s="111">
        <f t="shared" si="5"/>
        <v>4349</v>
      </c>
    </row>
    <row r="7" spans="1:34" ht="13">
      <c r="A7" s="107"/>
      <c r="B7" s="136"/>
      <c r="C7" s="108" t="s">
        <v>144</v>
      </c>
      <c r="D7" s="109"/>
      <c r="E7" s="110">
        <v>1000</v>
      </c>
      <c r="F7" s="110">
        <v>3000</v>
      </c>
      <c r="G7" s="111">
        <f t="shared" si="0"/>
        <v>4000</v>
      </c>
      <c r="H7" s="112"/>
      <c r="I7" s="112"/>
      <c r="J7" s="112"/>
      <c r="K7" s="112"/>
      <c r="L7" s="112"/>
      <c r="M7" s="113">
        <f t="shared" si="1"/>
        <v>0</v>
      </c>
      <c r="N7" s="114"/>
      <c r="O7" s="114"/>
      <c r="P7" s="112"/>
      <c r="Q7" s="112"/>
      <c r="R7" s="112"/>
      <c r="S7" s="112"/>
      <c r="T7" s="113">
        <f t="shared" si="2"/>
        <v>0</v>
      </c>
      <c r="U7" s="114"/>
      <c r="V7" s="112">
        <f>730</f>
        <v>730</v>
      </c>
      <c r="W7" s="114"/>
      <c r="X7" s="112"/>
      <c r="Y7" s="113">
        <f t="shared" si="3"/>
        <v>730</v>
      </c>
      <c r="Z7" s="112"/>
      <c r="AA7" s="114"/>
      <c r="AB7" s="112"/>
      <c r="AC7" s="112"/>
      <c r="AD7" s="112"/>
      <c r="AE7" s="113">
        <f t="shared" si="4"/>
        <v>0</v>
      </c>
      <c r="AF7" s="111">
        <f t="shared" si="5"/>
        <v>4730</v>
      </c>
    </row>
    <row r="8" spans="1:34" ht="13">
      <c r="A8" s="107"/>
      <c r="B8" s="136"/>
      <c r="C8" s="108" t="s">
        <v>145</v>
      </c>
      <c r="D8" s="109"/>
      <c r="E8" s="110">
        <v>1000</v>
      </c>
      <c r="F8" s="110">
        <v>3000</v>
      </c>
      <c r="G8" s="111">
        <f t="shared" si="0"/>
        <v>4000</v>
      </c>
      <c r="H8" s="112"/>
      <c r="I8" s="112"/>
      <c r="J8" s="112"/>
      <c r="K8" s="112"/>
      <c r="L8" s="112"/>
      <c r="M8" s="113">
        <f t="shared" si="1"/>
        <v>0</v>
      </c>
      <c r="N8" s="112"/>
      <c r="O8" s="114"/>
      <c r="P8" s="112"/>
      <c r="Q8" s="112"/>
      <c r="R8" s="112"/>
      <c r="S8" s="112"/>
      <c r="T8" s="113">
        <f t="shared" si="2"/>
        <v>0</v>
      </c>
      <c r="U8" s="114">
        <f>540+540+540</f>
        <v>1620</v>
      </c>
      <c r="V8" s="112"/>
      <c r="W8" s="114"/>
      <c r="X8" s="112"/>
      <c r="Y8" s="113">
        <f t="shared" si="3"/>
        <v>1620</v>
      </c>
      <c r="Z8" s="112"/>
      <c r="AA8" s="114"/>
      <c r="AB8" s="112"/>
      <c r="AC8" s="112"/>
      <c r="AD8" s="112"/>
      <c r="AE8" s="113">
        <f t="shared" si="4"/>
        <v>0</v>
      </c>
      <c r="AF8" s="111">
        <f t="shared" si="5"/>
        <v>5620</v>
      </c>
    </row>
    <row r="9" spans="1:34" ht="13">
      <c r="A9" s="107"/>
      <c r="B9" s="136"/>
      <c r="C9" s="108" t="s">
        <v>146</v>
      </c>
      <c r="D9" s="109"/>
      <c r="E9" s="110">
        <v>1000</v>
      </c>
      <c r="F9" s="110">
        <v>3000</v>
      </c>
      <c r="G9" s="111">
        <f t="shared" si="0"/>
        <v>4000</v>
      </c>
      <c r="H9" s="112"/>
      <c r="I9" s="112"/>
      <c r="J9" s="112"/>
      <c r="K9" s="112"/>
      <c r="L9" s="112"/>
      <c r="M9" s="113">
        <f t="shared" si="1"/>
        <v>0</v>
      </c>
      <c r="N9" s="114"/>
      <c r="O9" s="114"/>
      <c r="P9" s="112"/>
      <c r="Q9" s="112"/>
      <c r="R9" s="112"/>
      <c r="S9" s="112"/>
      <c r="T9" s="113">
        <f t="shared" si="2"/>
        <v>0</v>
      </c>
      <c r="U9" s="114"/>
      <c r="V9" s="112"/>
      <c r="W9" s="114"/>
      <c r="X9" s="112"/>
      <c r="Y9" s="113">
        <f t="shared" si="3"/>
        <v>0</v>
      </c>
      <c r="Z9" s="112"/>
      <c r="AA9" s="114"/>
      <c r="AB9" s="112"/>
      <c r="AC9" s="112"/>
      <c r="AD9" s="112"/>
      <c r="AE9" s="113">
        <f t="shared" si="4"/>
        <v>0</v>
      </c>
      <c r="AF9" s="111">
        <f t="shared" si="5"/>
        <v>4000</v>
      </c>
    </row>
    <row r="10" spans="1:34" ht="13">
      <c r="A10" s="107"/>
      <c r="B10" s="136"/>
      <c r="C10" s="108" t="s">
        <v>147</v>
      </c>
      <c r="D10" s="109"/>
      <c r="E10" s="110">
        <v>1000</v>
      </c>
      <c r="F10" s="110">
        <v>3000</v>
      </c>
      <c r="G10" s="111">
        <f t="shared" si="0"/>
        <v>4000</v>
      </c>
      <c r="H10" s="112"/>
      <c r="I10" s="112"/>
      <c r="J10" s="112"/>
      <c r="K10" s="112"/>
      <c r="L10" s="112"/>
      <c r="M10" s="113">
        <f t="shared" si="1"/>
        <v>0</v>
      </c>
      <c r="N10" s="114">
        <f>160+200</f>
        <v>360</v>
      </c>
      <c r="O10" s="114"/>
      <c r="P10" s="112"/>
      <c r="Q10" s="112"/>
      <c r="R10" s="112"/>
      <c r="S10" s="112"/>
      <c r="T10" s="113">
        <f t="shared" si="2"/>
        <v>360</v>
      </c>
      <c r="U10" s="114"/>
      <c r="V10" s="112"/>
      <c r="W10" s="114"/>
      <c r="X10" s="112"/>
      <c r="Y10" s="113">
        <f t="shared" si="3"/>
        <v>0</v>
      </c>
      <c r="Z10" s="112"/>
      <c r="AA10" s="114"/>
      <c r="AB10" s="112"/>
      <c r="AC10" s="112"/>
      <c r="AD10" s="112"/>
      <c r="AE10" s="113">
        <f>SUM(Z10,AD10)</f>
        <v>0</v>
      </c>
      <c r="AF10" s="111">
        <f t="shared" si="5"/>
        <v>4360</v>
      </c>
    </row>
    <row r="11" spans="1:34" ht="13">
      <c r="A11" s="107"/>
      <c r="B11" s="136"/>
      <c r="C11" s="108" t="s">
        <v>148</v>
      </c>
      <c r="D11" s="109"/>
      <c r="E11" s="110">
        <v>1000</v>
      </c>
      <c r="F11" s="110">
        <v>3000</v>
      </c>
      <c r="G11" s="111">
        <f t="shared" si="0"/>
        <v>4000</v>
      </c>
      <c r="H11" s="112"/>
      <c r="I11" s="112"/>
      <c r="J11" s="112"/>
      <c r="K11" s="112"/>
      <c r="L11" s="112"/>
      <c r="M11" s="113">
        <f t="shared" si="1"/>
        <v>0</v>
      </c>
      <c r="N11" s="114">
        <f>540+180+200</f>
        <v>920</v>
      </c>
      <c r="O11" s="114"/>
      <c r="P11" s="112"/>
      <c r="Q11" s="112"/>
      <c r="R11" s="112"/>
      <c r="S11" s="112"/>
      <c r="T11" s="113">
        <f t="shared" si="2"/>
        <v>920</v>
      </c>
      <c r="U11" s="114"/>
      <c r="V11" s="112"/>
      <c r="W11" s="114"/>
      <c r="X11" s="112"/>
      <c r="Y11" s="113">
        <f t="shared" si="3"/>
        <v>0</v>
      </c>
      <c r="Z11" s="112"/>
      <c r="AA11" s="114"/>
      <c r="AB11" s="112">
        <f>550+440+180</f>
        <v>1170</v>
      </c>
      <c r="AC11" s="112"/>
      <c r="AD11" s="112"/>
      <c r="AE11" s="113">
        <f>SUM(Z11,AD11)</f>
        <v>0</v>
      </c>
      <c r="AF11" s="111">
        <f t="shared" si="5"/>
        <v>4920</v>
      </c>
    </row>
    <row r="12" spans="1:34" ht="13">
      <c r="A12" s="107"/>
      <c r="B12" s="136"/>
      <c r="C12" s="108" t="s">
        <v>149</v>
      </c>
      <c r="D12" s="109"/>
      <c r="E12" s="110">
        <v>1000</v>
      </c>
      <c r="F12" s="110">
        <v>3000</v>
      </c>
      <c r="G12" s="111">
        <f t="shared" si="0"/>
        <v>4000</v>
      </c>
      <c r="H12" s="112"/>
      <c r="I12" s="112"/>
      <c r="J12" s="112"/>
      <c r="K12" s="112"/>
      <c r="L12" s="112"/>
      <c r="M12" s="113">
        <f t="shared" si="1"/>
        <v>0</v>
      </c>
      <c r="N12" s="114">
        <f>360+22720+1600</f>
        <v>24680</v>
      </c>
      <c r="O12" s="114"/>
      <c r="P12" s="112"/>
      <c r="Q12" s="112"/>
      <c r="R12" s="112"/>
      <c r="S12" s="112"/>
      <c r="T12" s="113">
        <f t="shared" si="2"/>
        <v>24680</v>
      </c>
      <c r="U12" s="114"/>
      <c r="V12" s="112"/>
      <c r="W12" s="114"/>
      <c r="X12" s="112"/>
      <c r="Y12" s="113">
        <f t="shared" si="3"/>
        <v>0</v>
      </c>
      <c r="Z12" s="112"/>
      <c r="AA12" s="114"/>
      <c r="AB12" s="112"/>
      <c r="AC12" s="112"/>
      <c r="AD12" s="112"/>
      <c r="AE12" s="113">
        <f>SUM(Z12:AC12)</f>
        <v>0</v>
      </c>
      <c r="AF12" s="111">
        <f t="shared" si="5"/>
        <v>28680</v>
      </c>
    </row>
    <row r="13" spans="1:34" ht="13">
      <c r="A13" s="107"/>
      <c r="B13" s="136"/>
      <c r="C13" s="108" t="s">
        <v>150</v>
      </c>
      <c r="D13" s="109"/>
      <c r="E13" s="110">
        <v>1000</v>
      </c>
      <c r="F13" s="110">
        <v>3000</v>
      </c>
      <c r="G13" s="111">
        <f t="shared" si="0"/>
        <v>4000</v>
      </c>
      <c r="H13" s="112"/>
      <c r="I13" s="112"/>
      <c r="J13" s="112"/>
      <c r="K13" s="112"/>
      <c r="L13" s="112"/>
      <c r="M13" s="113">
        <f t="shared" si="1"/>
        <v>0</v>
      </c>
      <c r="N13" s="114">
        <f>400+1190</f>
        <v>1590</v>
      </c>
      <c r="O13" s="114"/>
      <c r="P13" s="112"/>
      <c r="Q13" s="112"/>
      <c r="R13" s="112"/>
      <c r="S13" s="112"/>
      <c r="T13" s="113">
        <f t="shared" si="2"/>
        <v>1590</v>
      </c>
      <c r="U13" s="114"/>
      <c r="V13" s="112"/>
      <c r="W13" s="114"/>
      <c r="X13" s="112"/>
      <c r="Y13" s="113">
        <f t="shared" si="3"/>
        <v>0</v>
      </c>
      <c r="Z13" s="112"/>
      <c r="AA13" s="114"/>
      <c r="AB13" s="112">
        <f>1630+1190+380</f>
        <v>3200</v>
      </c>
      <c r="AC13" s="112"/>
      <c r="AD13" s="112"/>
      <c r="AE13" s="113">
        <f>SUM(AB13,AD13)</f>
        <v>3200</v>
      </c>
      <c r="AF13" s="111">
        <f t="shared" si="5"/>
        <v>5590</v>
      </c>
    </row>
    <row r="14" spans="1:34" ht="13">
      <c r="A14" s="107"/>
      <c r="B14" s="136"/>
      <c r="C14" s="108" t="s">
        <v>151</v>
      </c>
      <c r="D14" s="109"/>
      <c r="E14" s="110">
        <v>1000</v>
      </c>
      <c r="F14" s="110">
        <v>3000</v>
      </c>
      <c r="G14" s="111">
        <f t="shared" si="0"/>
        <v>4000</v>
      </c>
      <c r="H14" s="112"/>
      <c r="I14" s="112"/>
      <c r="J14" s="112"/>
      <c r="K14" s="112"/>
      <c r="L14" s="112"/>
      <c r="M14" s="113">
        <f t="shared" si="1"/>
        <v>0</v>
      </c>
      <c r="N14" s="112"/>
      <c r="O14" s="114"/>
      <c r="P14" s="112"/>
      <c r="Q14" s="112"/>
      <c r="R14" s="112"/>
      <c r="S14" s="112"/>
      <c r="T14" s="113">
        <f t="shared" si="2"/>
        <v>0</v>
      </c>
      <c r="U14" s="114"/>
      <c r="V14" s="112"/>
      <c r="W14" s="114"/>
      <c r="X14" s="112"/>
      <c r="Y14" s="113">
        <f t="shared" si="3"/>
        <v>0</v>
      </c>
      <c r="Z14" s="112"/>
      <c r="AA14" s="114"/>
      <c r="AB14" s="112"/>
      <c r="AC14" s="112"/>
      <c r="AD14" s="112"/>
      <c r="AE14" s="113">
        <f>SUM(Z14:AC14)</f>
        <v>0</v>
      </c>
      <c r="AF14" s="111">
        <f t="shared" si="5"/>
        <v>4000</v>
      </c>
    </row>
    <row r="15" spans="1:34" ht="13">
      <c r="A15" s="107"/>
      <c r="B15" s="136"/>
      <c r="C15" s="108" t="s">
        <v>152</v>
      </c>
      <c r="D15" s="109"/>
      <c r="E15" s="110">
        <v>1000</v>
      </c>
      <c r="F15" s="110">
        <v>3000</v>
      </c>
      <c r="G15" s="111">
        <f t="shared" si="0"/>
        <v>4000</v>
      </c>
      <c r="H15" s="112"/>
      <c r="I15" s="112">
        <f>14019+14019</f>
        <v>28038</v>
      </c>
      <c r="J15" s="112"/>
      <c r="K15" s="112"/>
      <c r="L15" s="112"/>
      <c r="M15" s="113">
        <f t="shared" si="1"/>
        <v>28038</v>
      </c>
      <c r="N15" s="114">
        <f>200+160</f>
        <v>360</v>
      </c>
      <c r="O15" s="114"/>
      <c r="P15" s="112"/>
      <c r="Q15" s="112"/>
      <c r="R15" s="112"/>
      <c r="S15" s="112"/>
      <c r="T15" s="113">
        <f t="shared" si="2"/>
        <v>360</v>
      </c>
      <c r="U15" s="114">
        <f>540+540</f>
        <v>1080</v>
      </c>
      <c r="V15" s="112"/>
      <c r="W15" s="114"/>
      <c r="X15" s="112"/>
      <c r="Y15" s="113">
        <f t="shared" si="3"/>
        <v>1080</v>
      </c>
      <c r="Z15" s="112"/>
      <c r="AA15" s="114"/>
      <c r="AB15" s="112"/>
      <c r="AC15" s="112"/>
      <c r="AD15" s="112">
        <f>4206</f>
        <v>4206</v>
      </c>
      <c r="AE15" s="113">
        <f>SUM(Z15,AD15)</f>
        <v>4206</v>
      </c>
      <c r="AF15" s="111">
        <f>SUM(G15,T15,Y15)</f>
        <v>5440</v>
      </c>
    </row>
    <row r="16" spans="1:34" ht="13">
      <c r="A16" s="107"/>
      <c r="B16" s="136"/>
      <c r="C16" s="115" t="s">
        <v>153</v>
      </c>
      <c r="D16" s="109"/>
      <c r="E16" s="110">
        <v>1000</v>
      </c>
      <c r="F16" s="110">
        <v>3000</v>
      </c>
      <c r="G16" s="111">
        <f t="shared" si="0"/>
        <v>4000</v>
      </c>
      <c r="H16" s="112"/>
      <c r="I16" s="112"/>
      <c r="J16" s="112"/>
      <c r="K16" s="112"/>
      <c r="L16" s="112"/>
      <c r="M16" s="113">
        <f t="shared" si="1"/>
        <v>0</v>
      </c>
      <c r="N16" s="114">
        <f>720</f>
        <v>720</v>
      </c>
      <c r="O16" s="114"/>
      <c r="P16" s="112"/>
      <c r="Q16" s="112"/>
      <c r="R16" s="112"/>
      <c r="S16" s="112"/>
      <c r="T16" s="113">
        <f t="shared" si="2"/>
        <v>720</v>
      </c>
      <c r="U16" s="114"/>
      <c r="V16" s="112"/>
      <c r="W16" s="114"/>
      <c r="X16" s="112"/>
      <c r="Y16" s="113">
        <f t="shared" si="3"/>
        <v>0</v>
      </c>
      <c r="Z16" s="112"/>
      <c r="AA16" s="114"/>
      <c r="AB16" s="112"/>
      <c r="AC16" s="112"/>
      <c r="AD16" s="112"/>
      <c r="AE16" s="113">
        <f>SUM(Z16:AC16)</f>
        <v>0</v>
      </c>
      <c r="AF16" s="111">
        <f t="shared" ref="AF16:AF23" si="6">SUM(M16,T16,G16,Y16)</f>
        <v>4720</v>
      </c>
    </row>
    <row r="17" spans="1:32" ht="13">
      <c r="A17" s="107"/>
      <c r="B17" s="136"/>
      <c r="C17" s="108" t="s">
        <v>154</v>
      </c>
      <c r="D17" s="109"/>
      <c r="E17" s="110">
        <v>1000</v>
      </c>
      <c r="F17" s="110">
        <v>3000</v>
      </c>
      <c r="G17" s="111">
        <f t="shared" si="0"/>
        <v>4000</v>
      </c>
      <c r="H17" s="112"/>
      <c r="I17" s="112"/>
      <c r="J17" s="112"/>
      <c r="K17" s="112"/>
      <c r="L17" s="112"/>
      <c r="M17" s="113">
        <f t="shared" si="1"/>
        <v>0</v>
      </c>
      <c r="N17" s="114">
        <f>240</f>
        <v>240</v>
      </c>
      <c r="O17" s="114"/>
      <c r="P17" s="112"/>
      <c r="Q17" s="112"/>
      <c r="R17" s="112"/>
      <c r="S17" s="112"/>
      <c r="T17" s="113">
        <f t="shared" si="2"/>
        <v>240</v>
      </c>
      <c r="U17" s="114"/>
      <c r="V17" s="112"/>
      <c r="W17" s="114"/>
      <c r="X17" s="112"/>
      <c r="Y17" s="113">
        <f t="shared" si="3"/>
        <v>0</v>
      </c>
      <c r="Z17" s="112"/>
      <c r="AA17" s="114"/>
      <c r="AB17" s="112">
        <f>240</f>
        <v>240</v>
      </c>
      <c r="AC17" s="112"/>
      <c r="AD17" s="112"/>
      <c r="AE17" s="113">
        <f>SUM(Z17:AC17)</f>
        <v>240</v>
      </c>
      <c r="AF17" s="111">
        <f t="shared" si="6"/>
        <v>4240</v>
      </c>
    </row>
    <row r="18" spans="1:32" ht="13">
      <c r="A18" s="107"/>
      <c r="B18" s="136"/>
      <c r="C18" s="116" t="s">
        <v>155</v>
      </c>
      <c r="D18" s="109"/>
      <c r="E18" s="110">
        <v>1000</v>
      </c>
      <c r="F18" s="110">
        <v>3000</v>
      </c>
      <c r="G18" s="111">
        <f t="shared" si="0"/>
        <v>4000</v>
      </c>
      <c r="H18" s="112"/>
      <c r="I18" s="112"/>
      <c r="J18" s="112"/>
      <c r="K18" s="112"/>
      <c r="L18" s="112"/>
      <c r="M18" s="113">
        <f t="shared" si="1"/>
        <v>0</v>
      </c>
      <c r="N18" s="112">
        <f>240</f>
        <v>240</v>
      </c>
      <c r="O18" s="114"/>
      <c r="P18" s="112"/>
      <c r="Q18" s="112"/>
      <c r="R18" s="112"/>
      <c r="S18" s="112"/>
      <c r="T18" s="113">
        <f t="shared" si="2"/>
        <v>240</v>
      </c>
      <c r="U18" s="114"/>
      <c r="V18" s="112"/>
      <c r="W18" s="114"/>
      <c r="X18" s="112"/>
      <c r="Y18" s="113">
        <f t="shared" si="3"/>
        <v>0</v>
      </c>
      <c r="Z18" s="112"/>
      <c r="AA18" s="114"/>
      <c r="AB18" s="112">
        <f>240</f>
        <v>240</v>
      </c>
      <c r="AC18" s="112"/>
      <c r="AD18" s="112"/>
      <c r="AE18" s="113">
        <f>SUM(Z18:AD18)</f>
        <v>240</v>
      </c>
      <c r="AF18" s="111">
        <f t="shared" si="6"/>
        <v>4240</v>
      </c>
    </row>
    <row r="19" spans="1:32" ht="13">
      <c r="A19" s="107"/>
      <c r="B19" s="136"/>
      <c r="C19" s="116" t="s">
        <v>156</v>
      </c>
      <c r="D19" s="109"/>
      <c r="E19" s="110">
        <v>1000</v>
      </c>
      <c r="F19" s="110">
        <v>3000</v>
      </c>
      <c r="G19" s="111">
        <f t="shared" si="0"/>
        <v>4000</v>
      </c>
      <c r="H19" s="112"/>
      <c r="I19" s="112"/>
      <c r="J19" s="112"/>
      <c r="K19" s="112">
        <f>1447</f>
        <v>1447</v>
      </c>
      <c r="L19" s="112"/>
      <c r="M19" s="113">
        <f t="shared" si="1"/>
        <v>1447</v>
      </c>
      <c r="N19" s="112">
        <f>160+180</f>
        <v>340</v>
      </c>
      <c r="O19" s="114"/>
      <c r="P19" s="112"/>
      <c r="Q19" s="112"/>
      <c r="R19" s="112"/>
      <c r="S19" s="112"/>
      <c r="T19" s="113">
        <f t="shared" si="2"/>
        <v>340</v>
      </c>
      <c r="U19" s="114"/>
      <c r="V19" s="112"/>
      <c r="W19" s="114"/>
      <c r="X19" s="112"/>
      <c r="Y19" s="113">
        <f t="shared" si="3"/>
        <v>0</v>
      </c>
      <c r="Z19" s="112"/>
      <c r="AA19" s="114"/>
      <c r="AB19" s="112">
        <f>180+160+220</f>
        <v>560</v>
      </c>
      <c r="AC19" s="112"/>
      <c r="AD19" s="112"/>
      <c r="AE19" s="113">
        <f>SUM(Z19:AC19)</f>
        <v>560</v>
      </c>
      <c r="AF19" s="111">
        <f t="shared" si="6"/>
        <v>5787</v>
      </c>
    </row>
    <row r="20" spans="1:32" ht="13">
      <c r="A20" s="107"/>
      <c r="B20" s="136"/>
      <c r="C20" s="116" t="s">
        <v>157</v>
      </c>
      <c r="D20" s="109">
        <v>6</v>
      </c>
      <c r="E20" s="110">
        <v>1000</v>
      </c>
      <c r="F20" s="110">
        <v>3000</v>
      </c>
      <c r="G20" s="111">
        <v>4000</v>
      </c>
      <c r="H20" s="112"/>
      <c r="I20" s="112"/>
      <c r="J20" s="112"/>
      <c r="K20" s="112"/>
      <c r="L20" s="112"/>
      <c r="M20" s="113">
        <f t="shared" si="1"/>
        <v>0</v>
      </c>
      <c r="N20" s="114"/>
      <c r="O20" s="114"/>
      <c r="P20" s="112"/>
      <c r="Q20" s="112"/>
      <c r="R20" s="112"/>
      <c r="S20" s="112"/>
      <c r="T20" s="113">
        <f t="shared" si="2"/>
        <v>0</v>
      </c>
      <c r="U20" s="114"/>
      <c r="V20" s="112"/>
      <c r="W20" s="114"/>
      <c r="X20" s="112"/>
      <c r="Y20" s="113">
        <f t="shared" si="3"/>
        <v>0</v>
      </c>
      <c r="Z20" s="112"/>
      <c r="AA20" s="114"/>
      <c r="AB20" s="112"/>
      <c r="AC20" s="112"/>
      <c r="AD20" s="112"/>
      <c r="AE20" s="113">
        <f>SUM(Z20:AC20)</f>
        <v>0</v>
      </c>
      <c r="AF20" s="111">
        <f t="shared" si="6"/>
        <v>4000</v>
      </c>
    </row>
    <row r="21" spans="1:32" ht="13">
      <c r="A21" s="107"/>
      <c r="B21" s="117"/>
      <c r="C21" s="116" t="s">
        <v>158</v>
      </c>
      <c r="D21" s="109"/>
      <c r="E21" s="110">
        <v>1000</v>
      </c>
      <c r="F21" s="110">
        <v>3000</v>
      </c>
      <c r="G21" s="111">
        <f>SUM(D21:F21)</f>
        <v>4000</v>
      </c>
      <c r="H21" s="112"/>
      <c r="I21" s="112"/>
      <c r="J21" s="112"/>
      <c r="K21" s="112"/>
      <c r="L21" s="112"/>
      <c r="M21" s="113">
        <f t="shared" si="1"/>
        <v>0</v>
      </c>
      <c r="N21" s="114"/>
      <c r="O21" s="114"/>
      <c r="P21" s="112"/>
      <c r="Q21" s="112"/>
      <c r="R21" s="112"/>
      <c r="S21" s="112"/>
      <c r="T21" s="113">
        <f t="shared" si="2"/>
        <v>0</v>
      </c>
      <c r="U21" s="114"/>
      <c r="V21" s="112"/>
      <c r="W21" s="114"/>
      <c r="X21" s="112"/>
      <c r="Y21" s="113">
        <f t="shared" si="3"/>
        <v>0</v>
      </c>
      <c r="Z21" s="112"/>
      <c r="AA21" s="114"/>
      <c r="AB21" s="112"/>
      <c r="AC21" s="112"/>
      <c r="AD21" s="112"/>
      <c r="AE21" s="113">
        <f>SUM(Z21:AC21)</f>
        <v>0</v>
      </c>
      <c r="AF21" s="111">
        <f t="shared" si="6"/>
        <v>4000</v>
      </c>
    </row>
    <row r="22" spans="1:32" ht="15" customHeight="1">
      <c r="A22" s="118"/>
      <c r="B22" s="118"/>
      <c r="C22" s="116" t="s">
        <v>58</v>
      </c>
      <c r="D22" s="109"/>
      <c r="E22" s="110">
        <v>1000</v>
      </c>
      <c r="F22" s="110">
        <v>3000</v>
      </c>
      <c r="G22" s="111">
        <f>SUM(D22:F22)</f>
        <v>4000</v>
      </c>
      <c r="H22" s="112"/>
      <c r="I22" s="112">
        <f>140</f>
        <v>140</v>
      </c>
      <c r="J22" s="112">
        <f>1080</f>
        <v>1080</v>
      </c>
      <c r="K22" s="112">
        <f>308</f>
        <v>308</v>
      </c>
      <c r="L22" s="112"/>
      <c r="M22" s="113">
        <f t="shared" si="1"/>
        <v>1528</v>
      </c>
      <c r="N22" s="114">
        <v>5680</v>
      </c>
      <c r="O22" s="114"/>
      <c r="P22" s="112"/>
      <c r="Q22" s="112"/>
      <c r="R22" s="112"/>
      <c r="S22" s="112"/>
      <c r="T22" s="113">
        <f t="shared" si="2"/>
        <v>5680</v>
      </c>
      <c r="U22" s="114"/>
      <c r="V22" s="112"/>
      <c r="W22" s="114"/>
      <c r="X22" s="112"/>
      <c r="Y22" s="113">
        <f t="shared" si="3"/>
        <v>0</v>
      </c>
      <c r="Z22" s="112"/>
      <c r="AA22" s="114"/>
      <c r="AB22" s="114">
        <f>280</f>
        <v>280</v>
      </c>
      <c r="AC22" s="112"/>
      <c r="AD22" s="112"/>
      <c r="AE22" s="113">
        <f>SUM(Z22:AC22)</f>
        <v>280</v>
      </c>
      <c r="AF22" s="111">
        <f t="shared" si="6"/>
        <v>11208</v>
      </c>
    </row>
    <row r="23" spans="1:32" ht="13">
      <c r="B23" s="118"/>
      <c r="C23" s="119" t="s">
        <v>159</v>
      </c>
      <c r="D23" s="109"/>
      <c r="E23" s="109"/>
      <c r="F23" s="109"/>
      <c r="G23" s="109"/>
      <c r="H23" s="112"/>
      <c r="I23" s="112"/>
      <c r="J23" s="112"/>
      <c r="K23" s="112"/>
      <c r="L23" s="112"/>
      <c r="M23" s="113">
        <f t="shared" si="1"/>
        <v>0</v>
      </c>
      <c r="N23" s="114"/>
      <c r="O23" s="114"/>
      <c r="P23" s="112"/>
      <c r="Q23" s="112"/>
      <c r="R23" s="112"/>
      <c r="S23" s="112"/>
      <c r="T23" s="113">
        <f t="shared" si="2"/>
        <v>0</v>
      </c>
      <c r="U23" s="114"/>
      <c r="V23" s="112"/>
      <c r="W23" s="114"/>
      <c r="X23" s="112"/>
      <c r="Y23" s="113">
        <f t="shared" si="3"/>
        <v>0</v>
      </c>
      <c r="Z23" s="112"/>
      <c r="AA23" s="114"/>
      <c r="AB23" s="114"/>
      <c r="AC23" s="112"/>
      <c r="AD23" s="112"/>
      <c r="AE23" s="113">
        <f>SUM(Z23:AC23)</f>
        <v>0</v>
      </c>
      <c r="AF23" s="111">
        <f t="shared" si="6"/>
        <v>0</v>
      </c>
    </row>
    <row r="24" spans="1:32" ht="13">
      <c r="C24" s="118"/>
      <c r="E24" s="120">
        <f>SUM(E3:E22)</f>
        <v>20000</v>
      </c>
      <c r="F24" s="120">
        <f>SUM(F3:F22)</f>
        <v>60000</v>
      </c>
      <c r="G24" s="120">
        <f>SUM(G3:G22)</f>
        <v>80000</v>
      </c>
      <c r="H24" s="121">
        <f t="shared" ref="H24:AF24" si="7">SUM(H3:H23)</f>
        <v>0</v>
      </c>
      <c r="I24" s="121">
        <f t="shared" si="7"/>
        <v>28178</v>
      </c>
      <c r="J24" s="121">
        <f t="shared" si="7"/>
        <v>1080</v>
      </c>
      <c r="K24" s="121">
        <f t="shared" si="7"/>
        <v>1755</v>
      </c>
      <c r="L24" s="121">
        <f t="shared" si="7"/>
        <v>0</v>
      </c>
      <c r="M24" s="121">
        <f t="shared" si="7"/>
        <v>31013</v>
      </c>
      <c r="N24" s="121">
        <f t="shared" si="7"/>
        <v>37537</v>
      </c>
      <c r="O24" s="121">
        <f t="shared" si="7"/>
        <v>0</v>
      </c>
      <c r="P24" s="121">
        <f t="shared" si="7"/>
        <v>0</v>
      </c>
      <c r="Q24" s="121">
        <f t="shared" si="7"/>
        <v>0</v>
      </c>
      <c r="R24" s="121">
        <f t="shared" si="7"/>
        <v>0</v>
      </c>
      <c r="S24" s="121">
        <f t="shared" si="7"/>
        <v>0</v>
      </c>
      <c r="T24" s="121">
        <f t="shared" si="7"/>
        <v>37537</v>
      </c>
      <c r="U24" s="121">
        <f t="shared" si="7"/>
        <v>3240</v>
      </c>
      <c r="V24" s="121">
        <f t="shared" si="7"/>
        <v>730</v>
      </c>
      <c r="W24" s="121">
        <f t="shared" si="7"/>
        <v>0</v>
      </c>
      <c r="X24" s="121">
        <f t="shared" si="7"/>
        <v>0</v>
      </c>
      <c r="Y24" s="121">
        <f t="shared" si="7"/>
        <v>3970</v>
      </c>
      <c r="Z24" s="121">
        <f t="shared" si="7"/>
        <v>0</v>
      </c>
      <c r="AA24" s="121">
        <f t="shared" si="7"/>
        <v>0</v>
      </c>
      <c r="AB24" s="121">
        <f t="shared" si="7"/>
        <v>7070</v>
      </c>
      <c r="AC24" s="121">
        <f t="shared" si="7"/>
        <v>0</v>
      </c>
      <c r="AD24" s="121">
        <f t="shared" si="7"/>
        <v>4206</v>
      </c>
      <c r="AE24" s="121">
        <f t="shared" si="7"/>
        <v>10106</v>
      </c>
      <c r="AF24" s="121">
        <f t="shared" si="7"/>
        <v>124482</v>
      </c>
    </row>
    <row r="25" spans="1:32" ht="13">
      <c r="B25" s="122"/>
      <c r="C25" s="118"/>
      <c r="E25" s="120"/>
      <c r="F25" s="120"/>
      <c r="G25" s="120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</row>
    <row r="26" spans="1:32" ht="16.5" customHeight="1">
      <c r="B26" s="137" t="s">
        <v>160</v>
      </c>
      <c r="C26" s="101" t="s">
        <v>161</v>
      </c>
      <c r="D26" s="110"/>
      <c r="E26" s="110"/>
      <c r="F26" s="123"/>
      <c r="G26" s="123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</row>
    <row r="27" spans="1:32" ht="19.5" customHeight="1">
      <c r="B27" s="137"/>
      <c r="C27" s="101" t="s">
        <v>162</v>
      </c>
      <c r="D27" s="110">
        <f>0</f>
        <v>0</v>
      </c>
      <c r="E27" s="110">
        <v>1000</v>
      </c>
      <c r="F27" s="110">
        <f>6000</f>
        <v>6000</v>
      </c>
      <c r="G27" s="111">
        <f>SUM(D27:F27)</f>
        <v>7000</v>
      </c>
      <c r="N27" s="100"/>
      <c r="O27" s="100"/>
      <c r="T27" s="125"/>
      <c r="AF27" s="124"/>
    </row>
    <row r="28" spans="1:32" ht="19.5" customHeight="1">
      <c r="B28" s="136" t="s">
        <v>163</v>
      </c>
      <c r="C28" s="126" t="s">
        <v>164</v>
      </c>
      <c r="D28" s="110">
        <f>1712+432</f>
        <v>2144</v>
      </c>
      <c r="E28" s="110">
        <v>1000</v>
      </c>
      <c r="F28" s="110">
        <f>20000</f>
        <v>20000</v>
      </c>
      <c r="G28" s="111">
        <f>SUM(D28:F28)</f>
        <v>23144</v>
      </c>
      <c r="N28" s="100"/>
      <c r="O28" s="100"/>
      <c r="T28" s="125"/>
    </row>
    <row r="29" spans="1:32" ht="19.5" customHeight="1">
      <c r="B29" s="136"/>
      <c r="C29" s="126" t="s">
        <v>165</v>
      </c>
      <c r="D29" s="127">
        <f>1844</f>
        <v>1844</v>
      </c>
      <c r="E29" s="110">
        <v>1000</v>
      </c>
      <c r="F29" s="110">
        <f>20000</f>
        <v>20000</v>
      </c>
      <c r="G29" s="111">
        <f>SUM(D29:F29)</f>
        <v>22844</v>
      </c>
      <c r="N29" s="100"/>
      <c r="O29" s="100"/>
      <c r="T29" s="125"/>
    </row>
    <row r="30" spans="1:32" ht="19.5" customHeight="1">
      <c r="B30" s="136" t="s">
        <v>166</v>
      </c>
      <c r="C30" s="128" t="s">
        <v>167</v>
      </c>
      <c r="D30" s="127">
        <f>24040</f>
        <v>24040</v>
      </c>
      <c r="E30" s="110">
        <v>1000</v>
      </c>
      <c r="F30" s="110">
        <f>6000</f>
        <v>6000</v>
      </c>
      <c r="G30" s="111">
        <f>SUM(D30:F30)</f>
        <v>31040</v>
      </c>
      <c r="N30" s="100"/>
      <c r="O30" s="100"/>
      <c r="T30" s="125"/>
    </row>
    <row r="31" spans="1:32" ht="19.5" customHeight="1">
      <c r="B31" s="136"/>
      <c r="C31" s="128" t="s">
        <v>168</v>
      </c>
      <c r="D31" s="127">
        <f>6360</f>
        <v>6360</v>
      </c>
      <c r="E31" s="110">
        <v>1000</v>
      </c>
      <c r="F31" s="110">
        <f>4000</f>
        <v>4000</v>
      </c>
      <c r="G31" s="111">
        <f>SUM(D31:F31)</f>
        <v>11360</v>
      </c>
      <c r="T31" s="125"/>
    </row>
    <row r="32" spans="1:32" s="100" customFormat="1" ht="13">
      <c r="B32" s="98"/>
      <c r="C32" s="129" t="s">
        <v>169</v>
      </c>
      <c r="D32" s="130">
        <f>SUM(D27:D31)</f>
        <v>34388</v>
      </c>
      <c r="E32" s="130">
        <f>SUM(E27:E31)</f>
        <v>5000</v>
      </c>
      <c r="F32" s="130">
        <f>SUM(F27:F31)</f>
        <v>56000</v>
      </c>
      <c r="G32" s="130">
        <f>SUM(G27:G31)</f>
        <v>95388</v>
      </c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Z32" s="124"/>
      <c r="AA32" s="124"/>
      <c r="AB32" s="124"/>
    </row>
    <row r="33" spans="1:34" s="100" customFormat="1" ht="13">
      <c r="B33" s="98"/>
      <c r="C33" s="98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Z33" s="124"/>
      <c r="AA33" s="124"/>
      <c r="AB33" s="124"/>
    </row>
    <row r="34" spans="1:34" s="100" customFormat="1" ht="13">
      <c r="B34" s="98"/>
      <c r="C34" s="131" t="s">
        <v>170</v>
      </c>
      <c r="E34" s="132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Z34" s="124"/>
      <c r="AA34" s="124"/>
      <c r="AB34" s="124"/>
    </row>
    <row r="35" spans="1:34" s="100" customFormat="1" ht="13">
      <c r="B35" s="98"/>
      <c r="C35" s="133" t="s">
        <v>171</v>
      </c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Z35" s="124"/>
      <c r="AA35" s="124"/>
      <c r="AB35" s="124"/>
    </row>
    <row r="36" spans="1:34" s="100" customFormat="1" ht="13">
      <c r="B36" s="98"/>
      <c r="C36" s="134" t="s">
        <v>172</v>
      </c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Z36" s="124"/>
      <c r="AA36" s="124"/>
      <c r="AB36" s="124"/>
    </row>
    <row r="37" spans="1:34" s="100" customFormat="1" ht="13">
      <c r="B37" s="98"/>
      <c r="C37" s="98" t="s">
        <v>173</v>
      </c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Z37" s="124"/>
      <c r="AA37" s="124"/>
      <c r="AB37" s="124"/>
    </row>
    <row r="38" spans="1:34" ht="13">
      <c r="C38" s="100"/>
    </row>
    <row r="39" spans="1:34" ht="13">
      <c r="C39" s="100"/>
    </row>
    <row r="40" spans="1:34" ht="13">
      <c r="A40" s="100"/>
      <c r="B40" s="100"/>
      <c r="C40" s="100"/>
      <c r="D40" s="124"/>
      <c r="E40" s="124"/>
      <c r="F40" s="124"/>
      <c r="AH40" s="100"/>
    </row>
    <row r="41" spans="1:34" ht="15" customHeight="1">
      <c r="A41" s="100"/>
      <c r="B41" s="100"/>
      <c r="C41" s="100"/>
      <c r="D41" s="124"/>
      <c r="E41" s="124"/>
      <c r="F41" s="124"/>
      <c r="AH41" s="100"/>
    </row>
    <row r="42" spans="1:34" ht="13">
      <c r="A42" s="100"/>
      <c r="B42" s="100"/>
      <c r="C42" s="100"/>
      <c r="D42" s="124"/>
      <c r="E42" s="124"/>
      <c r="F42" s="124"/>
      <c r="AH42" s="100"/>
    </row>
    <row r="43" spans="1:34" ht="13">
      <c r="A43" s="100"/>
      <c r="B43" s="100"/>
      <c r="C43" s="100"/>
      <c r="D43" s="124"/>
      <c r="E43" s="124"/>
      <c r="F43" s="124"/>
      <c r="AH43" s="100"/>
    </row>
    <row r="44" spans="1:34" ht="13">
      <c r="A44" s="100"/>
      <c r="B44" s="100"/>
      <c r="C44" s="100"/>
      <c r="D44" s="124"/>
      <c r="E44" s="124"/>
      <c r="F44" s="124"/>
      <c r="AH44" s="100"/>
    </row>
    <row r="45" spans="1:34" ht="13">
      <c r="A45" s="100"/>
      <c r="B45" s="100"/>
      <c r="C45" s="100"/>
      <c r="D45" s="124"/>
      <c r="E45" s="124"/>
      <c r="F45" s="124"/>
      <c r="AH45" s="100"/>
    </row>
    <row r="46" spans="1:34" ht="13">
      <c r="A46" s="100"/>
      <c r="B46" s="100"/>
      <c r="C46" s="100"/>
      <c r="D46" s="124"/>
      <c r="E46" s="124"/>
      <c r="F46" s="124"/>
      <c r="AH46" s="100"/>
    </row>
    <row r="47" spans="1:34" ht="13">
      <c r="A47" s="100"/>
      <c r="B47" s="100"/>
      <c r="C47" s="100"/>
      <c r="D47" s="124"/>
      <c r="E47" s="124"/>
      <c r="F47" s="124"/>
      <c r="AH47" s="100"/>
    </row>
    <row r="48" spans="1:34" ht="13">
      <c r="A48" s="100"/>
      <c r="B48" s="100"/>
      <c r="C48" s="100"/>
      <c r="D48" s="124"/>
      <c r="E48" s="124"/>
      <c r="F48" s="124"/>
      <c r="AH48" s="100"/>
    </row>
    <row r="49" spans="1:34" ht="13">
      <c r="A49" s="100"/>
      <c r="B49" s="100"/>
      <c r="C49" s="100"/>
      <c r="D49" s="124"/>
      <c r="E49" s="124"/>
      <c r="F49" s="124"/>
      <c r="AH49" s="100"/>
    </row>
    <row r="50" spans="1:34" ht="13">
      <c r="A50" s="100"/>
      <c r="B50" s="100"/>
      <c r="C50" s="100"/>
      <c r="D50" s="124"/>
      <c r="E50" s="124"/>
      <c r="F50" s="124"/>
      <c r="AH50" s="100"/>
    </row>
    <row r="51" spans="1:34" ht="13">
      <c r="A51" s="100"/>
      <c r="B51" s="100"/>
      <c r="C51" s="100"/>
      <c r="D51" s="124"/>
      <c r="E51" s="124"/>
      <c r="F51" s="124"/>
      <c r="AH51" s="100"/>
    </row>
    <row r="52" spans="1:34" ht="13">
      <c r="A52" s="100"/>
      <c r="B52" s="100"/>
      <c r="C52" s="100"/>
      <c r="D52" s="124"/>
      <c r="E52" s="124"/>
      <c r="F52" s="124"/>
      <c r="AH52" s="100"/>
    </row>
    <row r="53" spans="1:34" ht="13">
      <c r="A53" s="100"/>
      <c r="B53" s="100"/>
      <c r="C53" s="100"/>
      <c r="D53" s="124"/>
      <c r="E53" s="124"/>
      <c r="F53" s="124"/>
      <c r="AH53" s="100"/>
    </row>
    <row r="54" spans="1:34" ht="13">
      <c r="A54" s="100"/>
      <c r="B54" s="100"/>
      <c r="C54" s="100"/>
      <c r="D54" s="124"/>
      <c r="E54" s="124"/>
      <c r="F54" s="124"/>
      <c r="AH54" s="100"/>
    </row>
    <row r="55" spans="1:34" ht="13">
      <c r="A55" s="100"/>
      <c r="B55" s="100"/>
      <c r="C55" s="100"/>
      <c r="D55" s="124"/>
      <c r="E55" s="124"/>
      <c r="F55" s="124"/>
      <c r="AH55" s="100"/>
    </row>
    <row r="56" spans="1:34" ht="13">
      <c r="A56" s="100"/>
      <c r="B56" s="100"/>
      <c r="C56" s="100"/>
      <c r="D56" s="124"/>
      <c r="E56" s="124"/>
      <c r="F56" s="124"/>
      <c r="AH56" s="100"/>
    </row>
    <row r="57" spans="1:34" ht="13">
      <c r="A57" s="100"/>
      <c r="B57" s="100"/>
      <c r="C57" s="100"/>
      <c r="D57" s="124"/>
      <c r="E57" s="124"/>
      <c r="F57" s="124"/>
      <c r="AH57" s="100"/>
    </row>
    <row r="58" spans="1:34" ht="13">
      <c r="A58" s="100"/>
      <c r="B58" s="100"/>
      <c r="C58" s="100"/>
      <c r="D58" s="124"/>
      <c r="E58" s="124"/>
      <c r="F58" s="124"/>
      <c r="AH58" s="100"/>
    </row>
    <row r="59" spans="1:34" ht="13">
      <c r="A59" s="100"/>
      <c r="B59" s="100"/>
      <c r="C59" s="100"/>
      <c r="D59" s="124"/>
      <c r="E59" s="124"/>
      <c r="F59" s="124"/>
      <c r="AH59" s="100"/>
    </row>
    <row r="60" spans="1:34" ht="13">
      <c r="A60" s="100"/>
      <c r="B60" s="100"/>
      <c r="C60" s="100"/>
      <c r="D60" s="124"/>
      <c r="E60" s="124"/>
      <c r="F60" s="124"/>
      <c r="AH60" s="100"/>
    </row>
    <row r="61" spans="1:34" ht="13">
      <c r="A61" s="100"/>
      <c r="B61" s="100"/>
      <c r="C61" s="100"/>
      <c r="D61" s="124"/>
      <c r="E61" s="124"/>
      <c r="F61" s="124"/>
      <c r="AH61" s="100"/>
    </row>
    <row r="62" spans="1:34" ht="13">
      <c r="A62" s="100"/>
      <c r="B62" s="100"/>
      <c r="C62" s="100"/>
      <c r="D62" s="124"/>
      <c r="E62" s="124"/>
      <c r="F62" s="124"/>
      <c r="AH62" s="100"/>
    </row>
    <row r="63" spans="1:34" ht="13">
      <c r="A63" s="100"/>
      <c r="B63" s="100"/>
      <c r="C63" s="100"/>
      <c r="D63" s="124"/>
      <c r="E63" s="124"/>
      <c r="F63" s="124"/>
      <c r="AH63" s="100"/>
    </row>
  </sheetData>
  <mergeCells count="13">
    <mergeCell ref="B30:B31"/>
    <mergeCell ref="U1:Y1"/>
    <mergeCell ref="Z1:AE1"/>
    <mergeCell ref="AF1:AF2"/>
    <mergeCell ref="B3:B20"/>
    <mergeCell ref="B26:B27"/>
    <mergeCell ref="B28:B29"/>
    <mergeCell ref="D1:D2"/>
    <mergeCell ref="E1:E2"/>
    <mergeCell ref="F1:F2"/>
    <mergeCell ref="G1:G2"/>
    <mergeCell ref="H1:M1"/>
    <mergeCell ref="N1:T1"/>
  </mergeCells>
  <phoneticPr fontId="26"/>
  <pageMargins left="0" right="0" top="0.39370078740157505" bottom="0.39370078740157505" header="0" footer="0"/>
  <pageSetup paperSize="9" scale="72" fitToWidth="0" fitToHeight="0" pageOrder="overThenDown" orientation="portrait" useFirstPageNumber="1" horizontalDpi="0" verticalDpi="0" r:id="rId1"/>
  <headerFooter>
    <oddHeader>&amp;C&amp;A</oddHeader>
    <oddFooter>&amp;Cページ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/>
  </sheetViews>
  <sheetFormatPr defaultRowHeight="14.15"/>
  <cols>
    <col min="1" max="1" width="14.54296875" customWidth="1"/>
    <col min="2" max="2" width="14.26953125" style="138" customWidth="1"/>
    <col min="3" max="3" width="13.08984375" style="138" customWidth="1"/>
    <col min="4" max="4" width="33.36328125" style="68" customWidth="1"/>
    <col min="5" max="5" width="6.6328125" style="67" customWidth="1"/>
    <col min="6" max="6" width="5.54296875" style="67" customWidth="1"/>
    <col min="7" max="7" width="13.1796875" style="68" customWidth="1"/>
    <col min="8" max="8" width="25.1796875" customWidth="1"/>
    <col min="9" max="9" width="8.7265625" customWidth="1"/>
  </cols>
  <sheetData>
    <row r="1" spans="1:7" ht="13">
      <c r="C1" s="178" t="s">
        <v>174</v>
      </c>
      <c r="D1" s="178"/>
      <c r="F1" s="139"/>
      <c r="G1" s="140"/>
    </row>
    <row r="2" spans="1:7" ht="13">
      <c r="A2" s="141"/>
      <c r="C2" s="178"/>
      <c r="D2" s="178"/>
      <c r="F2" s="139"/>
      <c r="G2" s="140"/>
    </row>
    <row r="3" spans="1:7" ht="13">
      <c r="D3" s="140"/>
      <c r="F3" s="142" t="s">
        <v>175</v>
      </c>
      <c r="G3" s="143" t="s">
        <v>58</v>
      </c>
    </row>
    <row r="4" spans="1:7" ht="13">
      <c r="A4" s="144" t="s">
        <v>59</v>
      </c>
      <c r="B4" s="144" t="s">
        <v>176</v>
      </c>
      <c r="C4" s="145" t="s">
        <v>177</v>
      </c>
      <c r="D4" s="146" t="s">
        <v>63</v>
      </c>
      <c r="E4" s="147" t="s">
        <v>99</v>
      </c>
      <c r="F4" s="146" t="s">
        <v>65</v>
      </c>
      <c r="G4" s="148" t="s">
        <v>66</v>
      </c>
    </row>
    <row r="5" spans="1:7" ht="14">
      <c r="A5" s="59">
        <v>43403</v>
      </c>
      <c r="B5" s="149"/>
      <c r="C5" s="60">
        <f>通帳!B39</f>
        <v>86000</v>
      </c>
      <c r="D5" s="150" t="s">
        <v>178</v>
      </c>
      <c r="E5" s="55" t="s">
        <v>64</v>
      </c>
      <c r="F5" s="151" t="s">
        <v>179</v>
      </c>
      <c r="G5" s="152" t="s">
        <v>9</v>
      </c>
    </row>
    <row r="6" spans="1:7" ht="14">
      <c r="A6" s="59">
        <v>43403</v>
      </c>
      <c r="B6" s="153"/>
      <c r="C6" s="60">
        <f>通帳!B40</f>
        <v>52800</v>
      </c>
      <c r="D6" s="150" t="s">
        <v>180</v>
      </c>
      <c r="E6" s="55" t="s">
        <v>64</v>
      </c>
      <c r="F6" s="151" t="s">
        <v>179</v>
      </c>
      <c r="G6" s="152" t="s">
        <v>9</v>
      </c>
    </row>
    <row r="7" spans="1:7" ht="14">
      <c r="A7" s="59">
        <v>43403</v>
      </c>
      <c r="B7" s="154"/>
      <c r="C7" s="60">
        <f>通帳!B41</f>
        <v>108400</v>
      </c>
      <c r="D7" s="61" t="s">
        <v>181</v>
      </c>
      <c r="E7" s="55" t="s">
        <v>64</v>
      </c>
      <c r="F7" s="151" t="s">
        <v>179</v>
      </c>
      <c r="G7" s="152" t="s">
        <v>9</v>
      </c>
    </row>
    <row r="8" spans="1:7" ht="14">
      <c r="A8" s="59">
        <v>43403</v>
      </c>
      <c r="B8" s="154"/>
      <c r="C8" s="60">
        <f>通帳!B42</f>
        <v>121400</v>
      </c>
      <c r="D8" s="61" t="s">
        <v>182</v>
      </c>
      <c r="E8" s="55" t="s">
        <v>64</v>
      </c>
      <c r="F8" s="151" t="s">
        <v>179</v>
      </c>
      <c r="G8" s="152" t="s">
        <v>9</v>
      </c>
    </row>
    <row r="9" spans="1:7" ht="14">
      <c r="A9" s="59">
        <v>43404</v>
      </c>
      <c r="B9" s="154"/>
      <c r="C9" s="60">
        <f>通帳!B43</f>
        <v>131000</v>
      </c>
      <c r="D9" s="61" t="s">
        <v>183</v>
      </c>
      <c r="E9" s="55" t="s">
        <v>64</v>
      </c>
      <c r="F9" s="151" t="s">
        <v>179</v>
      </c>
      <c r="G9" s="152" t="s">
        <v>9</v>
      </c>
    </row>
    <row r="10" spans="1:7" ht="14">
      <c r="A10" s="59">
        <v>43404</v>
      </c>
      <c r="B10" s="154"/>
      <c r="C10" s="60">
        <f>通帳!B44</f>
        <v>216000</v>
      </c>
      <c r="D10" s="61" t="s">
        <v>184</v>
      </c>
      <c r="E10" s="55" t="s">
        <v>64</v>
      </c>
      <c r="F10" s="151" t="s">
        <v>179</v>
      </c>
      <c r="G10" s="152" t="s">
        <v>9</v>
      </c>
    </row>
    <row r="11" spans="1:7" ht="14">
      <c r="A11" s="59">
        <v>43404</v>
      </c>
      <c r="B11" s="154"/>
      <c r="C11" s="60">
        <f>通帳!B45</f>
        <v>21800</v>
      </c>
      <c r="D11" s="61" t="s">
        <v>185</v>
      </c>
      <c r="E11" s="55" t="s">
        <v>64</v>
      </c>
      <c r="F11" s="151" t="s">
        <v>179</v>
      </c>
      <c r="G11" s="152" t="s">
        <v>9</v>
      </c>
    </row>
    <row r="12" spans="1:7" ht="14">
      <c r="A12" s="59">
        <v>43404</v>
      </c>
      <c r="B12" s="154"/>
      <c r="C12" s="60">
        <f>通帳!B46</f>
        <v>34800</v>
      </c>
      <c r="D12" s="61" t="s">
        <v>186</v>
      </c>
      <c r="E12" s="55" t="s">
        <v>64</v>
      </c>
      <c r="F12" s="151" t="s">
        <v>179</v>
      </c>
      <c r="G12" s="152" t="s">
        <v>9</v>
      </c>
    </row>
    <row r="13" spans="1:7" ht="14">
      <c r="A13" s="59">
        <v>43405</v>
      </c>
      <c r="B13" s="154"/>
      <c r="C13" s="60">
        <f>通帳!B47</f>
        <v>130000</v>
      </c>
      <c r="D13" s="150" t="s">
        <v>75</v>
      </c>
      <c r="E13" s="55" t="s">
        <v>64</v>
      </c>
      <c r="F13" s="151" t="s">
        <v>179</v>
      </c>
      <c r="G13" s="152" t="s">
        <v>9</v>
      </c>
    </row>
    <row r="14" spans="1:7" ht="14">
      <c r="A14" s="59">
        <v>43405</v>
      </c>
      <c r="B14" s="154"/>
      <c r="C14" s="60">
        <f>通帳!B48</f>
        <v>17000</v>
      </c>
      <c r="D14" s="150" t="s">
        <v>75</v>
      </c>
      <c r="E14" s="55" t="s">
        <v>64</v>
      </c>
      <c r="F14" s="151" t="s">
        <v>179</v>
      </c>
      <c r="G14" s="152" t="s">
        <v>9</v>
      </c>
    </row>
    <row r="15" spans="1:7" ht="14">
      <c r="A15" s="59">
        <v>43405</v>
      </c>
      <c r="B15" s="154"/>
      <c r="C15" s="60">
        <f>通帳!B49</f>
        <v>17400</v>
      </c>
      <c r="D15" s="150" t="s">
        <v>75</v>
      </c>
      <c r="E15" s="55" t="s">
        <v>64</v>
      </c>
      <c r="F15" s="151" t="s">
        <v>179</v>
      </c>
      <c r="G15" s="152" t="s">
        <v>9</v>
      </c>
    </row>
    <row r="16" spans="1:7" ht="14">
      <c r="A16" s="59">
        <v>43405</v>
      </c>
      <c r="B16" s="154"/>
      <c r="C16" s="155">
        <f>通帳!B50</f>
        <v>58000</v>
      </c>
      <c r="D16" s="150" t="s">
        <v>186</v>
      </c>
      <c r="E16" s="55" t="s">
        <v>64</v>
      </c>
      <c r="F16" s="151" t="s">
        <v>179</v>
      </c>
      <c r="G16" s="152" t="s">
        <v>9</v>
      </c>
    </row>
    <row r="17" spans="1:7" ht="14">
      <c r="A17" s="59">
        <v>43418</v>
      </c>
      <c r="B17" s="154"/>
      <c r="C17" s="155">
        <f>通帳!B51</f>
        <v>41100</v>
      </c>
      <c r="D17" s="150" t="s">
        <v>75</v>
      </c>
      <c r="E17" s="55" t="s">
        <v>64</v>
      </c>
      <c r="F17" s="151" t="s">
        <v>179</v>
      </c>
      <c r="G17" s="152" t="s">
        <v>9</v>
      </c>
    </row>
    <row r="18" spans="1:7" ht="14">
      <c r="A18" s="59">
        <v>43454</v>
      </c>
      <c r="B18" s="154"/>
      <c r="C18" s="155">
        <f>通帳!B61</f>
        <v>300</v>
      </c>
      <c r="D18" s="150" t="s">
        <v>75</v>
      </c>
      <c r="E18" s="55" t="s">
        <v>64</v>
      </c>
      <c r="F18" s="151" t="s">
        <v>179</v>
      </c>
      <c r="G18" s="152" t="s">
        <v>9</v>
      </c>
    </row>
    <row r="19" spans="1:7" ht="14">
      <c r="A19" s="156"/>
      <c r="B19" s="157">
        <f>SUM(B5:B15)</f>
        <v>0</v>
      </c>
      <c r="C19" s="158">
        <f>SUM(C5:C18)</f>
        <v>1036000</v>
      </c>
      <c r="D19" s="159"/>
      <c r="E19" s="160"/>
      <c r="F19" s="161"/>
      <c r="G19" s="162"/>
    </row>
    <row r="20" spans="1:7" ht="13">
      <c r="A20" s="179"/>
      <c r="B20" s="179"/>
      <c r="C20" s="179"/>
      <c r="D20" s="179"/>
      <c r="E20" s="179"/>
      <c r="F20" s="179"/>
      <c r="G20" s="179"/>
    </row>
    <row r="21" spans="1:7" ht="14">
      <c r="A21" s="59">
        <v>43443</v>
      </c>
      <c r="B21" s="163"/>
      <c r="C21" s="164">
        <v>41000</v>
      </c>
      <c r="D21" s="61" t="s">
        <v>83</v>
      </c>
      <c r="E21" s="55" t="s">
        <v>64</v>
      </c>
      <c r="F21" s="151" t="s">
        <v>179</v>
      </c>
      <c r="G21" s="165" t="s">
        <v>21</v>
      </c>
    </row>
    <row r="22" spans="1:7" ht="14">
      <c r="A22" s="156"/>
      <c r="B22" s="157"/>
      <c r="C22" s="166">
        <f>SUM(C21:C21)</f>
        <v>41000</v>
      </c>
      <c r="D22" s="159"/>
      <c r="E22" s="160"/>
      <c r="F22" s="161"/>
      <c r="G22" s="162"/>
    </row>
    <row r="23" spans="1:7" ht="14">
      <c r="A23" s="167"/>
      <c r="B23" s="163"/>
      <c r="C23" s="168">
        <v>0</v>
      </c>
      <c r="D23" s="151"/>
      <c r="E23" s="55" t="s">
        <v>64</v>
      </c>
      <c r="F23" s="151" t="s">
        <v>179</v>
      </c>
      <c r="G23" s="165" t="s">
        <v>187</v>
      </c>
    </row>
    <row r="24" spans="1:7" ht="14">
      <c r="A24" s="156"/>
      <c r="B24" s="157"/>
      <c r="C24" s="166">
        <f>SUM(C23:C23)</f>
        <v>0</v>
      </c>
      <c r="D24" s="159"/>
      <c r="E24" s="160"/>
      <c r="F24" s="161"/>
      <c r="G24" s="162"/>
    </row>
    <row r="25" spans="1:7" ht="14">
      <c r="A25" s="169"/>
      <c r="B25" s="163"/>
      <c r="C25" s="164">
        <v>0</v>
      </c>
      <c r="D25" s="151"/>
      <c r="E25" s="170" t="s">
        <v>64</v>
      </c>
      <c r="F25" s="151" t="s">
        <v>179</v>
      </c>
      <c r="G25" s="165" t="s">
        <v>24</v>
      </c>
    </row>
    <row r="26" spans="1:7" ht="14">
      <c r="A26" s="156"/>
      <c r="B26" s="157"/>
      <c r="C26" s="166">
        <f>SUM(C25)</f>
        <v>0</v>
      </c>
      <c r="D26" s="159"/>
      <c r="E26" s="160"/>
      <c r="F26" s="161"/>
      <c r="G26" s="162"/>
    </row>
    <row r="27" spans="1:7" ht="14">
      <c r="A27" s="59">
        <v>43442</v>
      </c>
      <c r="B27" s="164"/>
      <c r="C27" s="164">
        <v>0</v>
      </c>
      <c r="D27" s="61" t="s">
        <v>28</v>
      </c>
      <c r="E27" s="55" t="s">
        <v>64</v>
      </c>
      <c r="F27" s="151" t="s">
        <v>179</v>
      </c>
      <c r="G27" s="165" t="s">
        <v>28</v>
      </c>
    </row>
    <row r="28" spans="1:7" ht="14">
      <c r="A28" s="156"/>
      <c r="B28" s="166">
        <f>SUM(B27:B27)</f>
        <v>0</v>
      </c>
      <c r="C28" s="166"/>
      <c r="D28" s="159"/>
      <c r="E28" s="160"/>
      <c r="F28" s="161"/>
      <c r="G28" s="162"/>
    </row>
    <row r="29" spans="1:7" ht="14">
      <c r="A29" s="59">
        <v>43445</v>
      </c>
      <c r="B29" s="168">
        <f>通帳!C56</f>
        <v>23241</v>
      </c>
      <c r="C29" s="171"/>
      <c r="D29" s="61" t="s">
        <v>77</v>
      </c>
      <c r="E29" s="55" t="s">
        <v>64</v>
      </c>
      <c r="F29" s="151" t="s">
        <v>179</v>
      </c>
      <c r="G29" s="172" t="s">
        <v>33</v>
      </c>
    </row>
    <row r="30" spans="1:7" ht="14">
      <c r="A30" s="59">
        <v>43456</v>
      </c>
      <c r="B30" s="168">
        <v>22356</v>
      </c>
      <c r="C30" s="171"/>
      <c r="D30" s="61" t="s">
        <v>93</v>
      </c>
      <c r="E30" s="55" t="s">
        <v>64</v>
      </c>
      <c r="F30" s="151" t="s">
        <v>179</v>
      </c>
      <c r="G30" s="172" t="s">
        <v>33</v>
      </c>
    </row>
    <row r="31" spans="1:7" ht="14">
      <c r="A31" s="156"/>
      <c r="B31" s="173">
        <f>SUM(B29:B30)</f>
        <v>45597</v>
      </c>
      <c r="C31" s="166">
        <f>SUM(C29:C29)</f>
        <v>0</v>
      </c>
      <c r="D31" s="159"/>
      <c r="E31" s="160"/>
      <c r="F31" s="161"/>
      <c r="G31" s="162"/>
    </row>
    <row r="32" spans="1:7" ht="14">
      <c r="A32" s="59">
        <v>43442</v>
      </c>
      <c r="B32" s="168">
        <f>持出金!C13</f>
        <v>308</v>
      </c>
      <c r="C32" s="171"/>
      <c r="D32" s="61" t="s">
        <v>188</v>
      </c>
      <c r="E32" s="55" t="s">
        <v>189</v>
      </c>
      <c r="F32" s="151" t="s">
        <v>179</v>
      </c>
      <c r="G32" s="165" t="s">
        <v>35</v>
      </c>
    </row>
    <row r="33" spans="1:7" ht="14">
      <c r="A33" s="59">
        <v>43442</v>
      </c>
      <c r="B33" s="168">
        <f>持出金!C21</f>
        <v>1447</v>
      </c>
      <c r="C33" s="171"/>
      <c r="D33" s="61" t="s">
        <v>190</v>
      </c>
      <c r="E33" s="55" t="s">
        <v>101</v>
      </c>
      <c r="F33" s="151" t="s">
        <v>179</v>
      </c>
      <c r="G33" s="165" t="s">
        <v>35</v>
      </c>
    </row>
    <row r="34" spans="1:7" ht="14">
      <c r="A34" s="174"/>
      <c r="B34" s="173">
        <f>SUM(B32:B33)</f>
        <v>1755</v>
      </c>
      <c r="C34" s="166">
        <f>SUM(C32:C32)</f>
        <v>0</v>
      </c>
      <c r="D34" s="159"/>
      <c r="E34" s="160"/>
      <c r="F34" s="161"/>
      <c r="G34" s="162"/>
    </row>
    <row r="35" spans="1:7" ht="14">
      <c r="A35" s="175">
        <v>43122</v>
      </c>
      <c r="B35" s="60"/>
      <c r="C35" s="171"/>
      <c r="D35" s="61" t="s">
        <v>80</v>
      </c>
      <c r="E35" s="55" t="s">
        <v>64</v>
      </c>
      <c r="F35" s="151" t="s">
        <v>179</v>
      </c>
      <c r="G35" s="165" t="s">
        <v>37</v>
      </c>
    </row>
    <row r="36" spans="1:7" ht="14">
      <c r="A36" s="176"/>
      <c r="B36" s="60"/>
      <c r="C36" s="171"/>
      <c r="D36" s="61"/>
      <c r="E36" s="170"/>
      <c r="F36" s="151"/>
      <c r="G36" s="165"/>
    </row>
    <row r="37" spans="1:7" ht="14">
      <c r="A37" s="174"/>
      <c r="B37" s="173">
        <f>SUM(B35:B36)</f>
        <v>0</v>
      </c>
      <c r="C37" s="166"/>
      <c r="D37" s="159"/>
      <c r="E37" s="160"/>
      <c r="F37" s="161"/>
      <c r="G37" s="162"/>
    </row>
    <row r="38" spans="1:7" ht="14">
      <c r="A38" s="59">
        <v>43436</v>
      </c>
      <c r="B38" s="171">
        <v>140</v>
      </c>
      <c r="C38" s="171"/>
      <c r="D38" s="61" t="s">
        <v>191</v>
      </c>
      <c r="E38" s="55" t="s">
        <v>189</v>
      </c>
      <c r="F38" s="151" t="s">
        <v>179</v>
      </c>
      <c r="G38" s="152" t="s">
        <v>39</v>
      </c>
    </row>
    <row r="39" spans="1:7" ht="14">
      <c r="A39" s="59">
        <v>43437</v>
      </c>
      <c r="B39" s="171">
        <v>14019</v>
      </c>
      <c r="C39" s="171"/>
      <c r="D39" s="61" t="s">
        <v>192</v>
      </c>
      <c r="E39" s="55" t="s">
        <v>189</v>
      </c>
      <c r="F39" s="151" t="s">
        <v>179</v>
      </c>
      <c r="G39" s="152" t="s">
        <v>39</v>
      </c>
    </row>
    <row r="40" spans="1:7" ht="14">
      <c r="A40" s="59">
        <v>43439</v>
      </c>
      <c r="B40" s="171">
        <v>4130</v>
      </c>
      <c r="C40" s="171"/>
      <c r="D40" s="61" t="s">
        <v>109</v>
      </c>
      <c r="E40" s="55" t="s">
        <v>189</v>
      </c>
      <c r="F40" s="151" t="s">
        <v>179</v>
      </c>
      <c r="G40" s="152" t="s">
        <v>39</v>
      </c>
    </row>
    <row r="41" spans="1:7" ht="14">
      <c r="A41" s="59">
        <v>43443</v>
      </c>
      <c r="B41" s="171">
        <v>22355</v>
      </c>
      <c r="C41" s="171"/>
      <c r="D41" s="61" t="s">
        <v>192</v>
      </c>
      <c r="E41" s="55" t="s">
        <v>101</v>
      </c>
      <c r="F41" s="151" t="s">
        <v>179</v>
      </c>
      <c r="G41" s="152" t="s">
        <v>39</v>
      </c>
    </row>
    <row r="42" spans="1:7" ht="14">
      <c r="A42" s="59">
        <v>43473</v>
      </c>
      <c r="B42" s="171">
        <v>58429</v>
      </c>
      <c r="C42" s="171"/>
      <c r="D42" s="61" t="s">
        <v>192</v>
      </c>
      <c r="E42" s="55" t="s">
        <v>101</v>
      </c>
      <c r="F42" s="151" t="s">
        <v>179</v>
      </c>
      <c r="G42" s="152" t="s">
        <v>39</v>
      </c>
    </row>
    <row r="43" spans="1:7" ht="14">
      <c r="A43" s="174"/>
      <c r="B43" s="166">
        <f>SUM(B38:B42)</f>
        <v>99073</v>
      </c>
      <c r="C43" s="166"/>
      <c r="D43" s="159"/>
      <c r="E43" s="160"/>
      <c r="F43" s="161"/>
      <c r="G43" s="162"/>
    </row>
    <row r="44" spans="1:7" ht="14">
      <c r="A44" s="59">
        <v>43437</v>
      </c>
      <c r="B44" s="60">
        <f>通帳!C52</f>
        <v>43500</v>
      </c>
      <c r="C44" s="164"/>
      <c r="D44" s="61" t="s">
        <v>76</v>
      </c>
      <c r="E44" s="55" t="s">
        <v>64</v>
      </c>
      <c r="F44" s="151" t="s">
        <v>179</v>
      </c>
      <c r="G44" s="165" t="s">
        <v>12</v>
      </c>
    </row>
    <row r="45" spans="1:7" ht="14">
      <c r="A45" s="174"/>
      <c r="B45" s="166">
        <f>SUM(B44)</f>
        <v>43500</v>
      </c>
      <c r="C45" s="166"/>
      <c r="D45" s="159"/>
      <c r="E45" s="160"/>
      <c r="F45" s="161"/>
      <c r="G45" s="162"/>
    </row>
    <row r="46" spans="1:7" ht="14">
      <c r="A46" s="59">
        <v>43443</v>
      </c>
      <c r="B46" s="60">
        <f>持出金!C30</f>
        <v>45988</v>
      </c>
      <c r="C46" s="164"/>
      <c r="D46" s="61" t="s">
        <v>193</v>
      </c>
      <c r="E46" s="55" t="s">
        <v>64</v>
      </c>
      <c r="F46" s="151" t="s">
        <v>179</v>
      </c>
      <c r="G46" s="165" t="s">
        <v>41</v>
      </c>
    </row>
    <row r="47" spans="1:7" ht="14">
      <c r="A47" s="156"/>
      <c r="B47" s="166">
        <f>SUM(B46)</f>
        <v>45988</v>
      </c>
      <c r="C47" s="166"/>
      <c r="D47" s="159"/>
      <c r="E47" s="160"/>
      <c r="F47" s="161"/>
      <c r="G47" s="162"/>
    </row>
    <row r="48" spans="1:7" ht="14">
      <c r="A48" s="175">
        <v>43440</v>
      </c>
      <c r="B48" s="171">
        <v>22720</v>
      </c>
      <c r="C48" s="171"/>
      <c r="D48" s="61" t="s">
        <v>194</v>
      </c>
      <c r="E48" s="55" t="s">
        <v>189</v>
      </c>
      <c r="F48" s="151" t="s">
        <v>179</v>
      </c>
      <c r="G48" s="152" t="s">
        <v>42</v>
      </c>
    </row>
    <row r="49" spans="1:7" ht="14">
      <c r="A49" s="175">
        <v>43442</v>
      </c>
      <c r="B49" s="171">
        <v>14817</v>
      </c>
      <c r="C49" s="171"/>
      <c r="D49" s="61" t="s">
        <v>194</v>
      </c>
      <c r="E49" s="55" t="s">
        <v>189</v>
      </c>
      <c r="F49" s="151" t="s">
        <v>179</v>
      </c>
      <c r="G49" s="152" t="s">
        <v>42</v>
      </c>
    </row>
    <row r="50" spans="1:7" ht="14">
      <c r="A50" s="175">
        <v>43443</v>
      </c>
      <c r="B50" s="171">
        <v>10310</v>
      </c>
      <c r="C50" s="171"/>
      <c r="D50" s="61" t="s">
        <v>194</v>
      </c>
      <c r="E50" s="55"/>
      <c r="F50" s="151"/>
      <c r="G50" s="152"/>
    </row>
    <row r="51" spans="1:7" ht="14">
      <c r="A51" s="175">
        <v>43443</v>
      </c>
      <c r="B51" s="171">
        <f>持出金!C32</f>
        <v>30400</v>
      </c>
      <c r="C51" s="171"/>
      <c r="D51" s="61" t="s">
        <v>195</v>
      </c>
      <c r="E51" s="55" t="s">
        <v>189</v>
      </c>
      <c r="F51" s="151" t="s">
        <v>179</v>
      </c>
      <c r="G51" s="152" t="s">
        <v>42</v>
      </c>
    </row>
    <row r="52" spans="1:7" ht="14">
      <c r="A52" s="156"/>
      <c r="B52" s="166">
        <f>SUM(B48:B51)</f>
        <v>78247</v>
      </c>
      <c r="C52" s="166">
        <f>SUM(C48:C51)</f>
        <v>0</v>
      </c>
      <c r="D52" s="159"/>
      <c r="E52" s="160"/>
      <c r="F52" s="161"/>
      <c r="G52" s="162"/>
    </row>
    <row r="53" spans="1:7" ht="14">
      <c r="A53" s="59">
        <v>43130</v>
      </c>
      <c r="B53" s="171">
        <v>148200</v>
      </c>
      <c r="C53" s="171"/>
      <c r="D53" s="61" t="s">
        <v>84</v>
      </c>
      <c r="E53" s="55" t="s">
        <v>64</v>
      </c>
      <c r="F53" s="151" t="s">
        <v>179</v>
      </c>
      <c r="G53" s="165" t="s">
        <v>44</v>
      </c>
    </row>
    <row r="54" spans="1:7" ht="14">
      <c r="A54" s="156"/>
      <c r="B54" s="166">
        <f>SUM(B53:B53)</f>
        <v>148200</v>
      </c>
      <c r="C54" s="166"/>
      <c r="D54" s="159"/>
      <c r="E54" s="160"/>
      <c r="F54" s="161"/>
      <c r="G54" s="162"/>
    </row>
    <row r="55" spans="1:7" ht="14">
      <c r="A55" s="175">
        <v>43442</v>
      </c>
      <c r="B55" s="164">
        <f>持出金!C14</f>
        <v>1080</v>
      </c>
      <c r="C55" s="164"/>
      <c r="D55" s="63" t="s">
        <v>196</v>
      </c>
      <c r="E55" s="55" t="s">
        <v>189</v>
      </c>
      <c r="F55" s="151" t="s">
        <v>179</v>
      </c>
      <c r="G55" s="172" t="s">
        <v>46</v>
      </c>
    </row>
    <row r="56" spans="1:7" ht="14">
      <c r="A56" s="175">
        <v>43443</v>
      </c>
      <c r="B56" s="164">
        <v>3730</v>
      </c>
      <c r="C56" s="164"/>
      <c r="D56" s="61" t="s">
        <v>110</v>
      </c>
      <c r="E56" s="55" t="s">
        <v>189</v>
      </c>
      <c r="F56" s="151" t="s">
        <v>179</v>
      </c>
      <c r="G56" s="172" t="s">
        <v>46</v>
      </c>
    </row>
    <row r="57" spans="1:7" ht="14">
      <c r="A57" s="175">
        <v>43442</v>
      </c>
      <c r="B57" s="164">
        <f>日計!E24</f>
        <v>20000</v>
      </c>
      <c r="C57" s="164"/>
      <c r="D57" s="61" t="s">
        <v>197</v>
      </c>
      <c r="E57" s="55" t="s">
        <v>189</v>
      </c>
      <c r="F57" s="151" t="s">
        <v>179</v>
      </c>
      <c r="G57" s="172" t="s">
        <v>46</v>
      </c>
    </row>
    <row r="58" spans="1:7" ht="14">
      <c r="A58" s="175">
        <v>43447</v>
      </c>
      <c r="B58" s="164">
        <v>88000</v>
      </c>
      <c r="C58" s="164"/>
      <c r="D58" s="61" t="s">
        <v>198</v>
      </c>
      <c r="E58" s="55" t="s">
        <v>189</v>
      </c>
      <c r="F58" s="151" t="s">
        <v>179</v>
      </c>
      <c r="G58" s="172" t="s">
        <v>46</v>
      </c>
    </row>
    <row r="59" spans="1:7" ht="14">
      <c r="A59" s="156"/>
      <c r="B59" s="166">
        <f>SUM(B55:B58)</f>
        <v>112810</v>
      </c>
      <c r="C59" s="166">
        <f>SUM(C55:C57)</f>
        <v>0</v>
      </c>
      <c r="D59" s="159"/>
      <c r="E59" s="160"/>
      <c r="F59" s="161"/>
      <c r="G59" s="162"/>
    </row>
    <row r="60" spans="1:7" ht="14">
      <c r="A60" s="175">
        <v>43442</v>
      </c>
      <c r="B60" s="168">
        <f>日計!F24</f>
        <v>60000</v>
      </c>
      <c r="C60" s="164"/>
      <c r="D60" s="61" t="s">
        <v>199</v>
      </c>
      <c r="E60" s="55" t="s">
        <v>189</v>
      </c>
      <c r="F60" s="151" t="s">
        <v>179</v>
      </c>
      <c r="G60" s="152" t="s">
        <v>47</v>
      </c>
    </row>
    <row r="61" spans="1:7" ht="14">
      <c r="A61" s="175">
        <v>43443</v>
      </c>
      <c r="B61" s="168">
        <f>日計!F27+日計!F30+日計!F31</f>
        <v>16000</v>
      </c>
      <c r="C61" s="164"/>
      <c r="D61" s="61" t="s">
        <v>200</v>
      </c>
      <c r="E61" s="55" t="s">
        <v>189</v>
      </c>
      <c r="F61" s="151" t="s">
        <v>179</v>
      </c>
      <c r="G61" s="152" t="s">
        <v>47</v>
      </c>
    </row>
    <row r="62" spans="1:7" ht="14">
      <c r="A62" s="156"/>
      <c r="B62" s="166">
        <f>SUM(B60:B61)</f>
        <v>76000</v>
      </c>
      <c r="C62" s="166"/>
      <c r="D62" s="159"/>
      <c r="E62" s="160"/>
      <c r="F62" s="161"/>
      <c r="G62" s="162"/>
    </row>
    <row r="63" spans="1:7" ht="14">
      <c r="A63" s="59">
        <v>43437</v>
      </c>
      <c r="B63" s="168">
        <f>通帳!C53</f>
        <v>432</v>
      </c>
      <c r="C63" s="164"/>
      <c r="D63" s="151" t="s">
        <v>49</v>
      </c>
      <c r="E63" s="55" t="s">
        <v>64</v>
      </c>
      <c r="F63" s="151" t="s">
        <v>179</v>
      </c>
      <c r="G63" s="165" t="s">
        <v>69</v>
      </c>
    </row>
    <row r="64" spans="1:7" ht="14">
      <c r="A64" s="59">
        <v>43440</v>
      </c>
      <c r="B64" s="177">
        <f>通帳!C55</f>
        <v>864</v>
      </c>
      <c r="C64" s="164"/>
      <c r="D64" s="151" t="s">
        <v>49</v>
      </c>
      <c r="E64" s="55" t="s">
        <v>64</v>
      </c>
      <c r="F64" s="151" t="s">
        <v>179</v>
      </c>
      <c r="G64" s="152" t="s">
        <v>69</v>
      </c>
    </row>
    <row r="65" spans="1:7" ht="14">
      <c r="A65" s="59">
        <v>43445</v>
      </c>
      <c r="B65" s="177">
        <f>通帳!C57</f>
        <v>108</v>
      </c>
      <c r="C65" s="164"/>
      <c r="D65" s="151" t="s">
        <v>49</v>
      </c>
      <c r="E65" s="55" t="s">
        <v>64</v>
      </c>
      <c r="F65" s="151" t="s">
        <v>179</v>
      </c>
      <c r="G65" s="165" t="s">
        <v>69</v>
      </c>
    </row>
    <row r="66" spans="1:7" ht="14">
      <c r="A66" s="59">
        <v>43447</v>
      </c>
      <c r="B66" s="177">
        <f>通帳!C59</f>
        <v>432</v>
      </c>
      <c r="C66" s="164"/>
      <c r="D66" s="151" t="s">
        <v>49</v>
      </c>
      <c r="E66" s="55" t="s">
        <v>64</v>
      </c>
      <c r="F66" s="151" t="s">
        <v>179</v>
      </c>
      <c r="G66" s="165" t="s">
        <v>69</v>
      </c>
    </row>
    <row r="67" spans="1:7" ht="14">
      <c r="A67" s="59">
        <v>43456</v>
      </c>
      <c r="B67" s="177">
        <v>216</v>
      </c>
      <c r="C67" s="164"/>
      <c r="D67" s="151" t="s">
        <v>49</v>
      </c>
      <c r="E67" s="55" t="s">
        <v>64</v>
      </c>
      <c r="F67" s="151" t="s">
        <v>179</v>
      </c>
      <c r="G67" s="165" t="s">
        <v>69</v>
      </c>
    </row>
    <row r="68" spans="1:7" ht="14">
      <c r="A68" s="59">
        <v>43473</v>
      </c>
      <c r="B68" s="177">
        <v>216</v>
      </c>
      <c r="C68" s="164"/>
      <c r="D68" s="151" t="s">
        <v>49</v>
      </c>
      <c r="E68" s="55" t="s">
        <v>64</v>
      </c>
      <c r="F68" s="151" t="s">
        <v>179</v>
      </c>
      <c r="G68" s="165" t="s">
        <v>69</v>
      </c>
    </row>
    <row r="69" spans="1:7" ht="14">
      <c r="A69" s="174"/>
      <c r="B69" s="173">
        <f>SUM(B63:B68)</f>
        <v>2268</v>
      </c>
      <c r="C69" s="166"/>
      <c r="D69" s="159"/>
      <c r="E69" s="160"/>
      <c r="F69" s="161"/>
      <c r="G69" s="162"/>
    </row>
    <row r="70" spans="1:7" ht="13"/>
    <row r="71" spans="1:7" ht="13"/>
    <row r="72" spans="1:7" ht="13"/>
    <row r="73" spans="1:7" ht="13"/>
    <row r="74" spans="1:7" ht="13"/>
    <row r="75" spans="1:7" ht="13"/>
    <row r="76" spans="1:7" ht="13"/>
    <row r="77" spans="1:7" ht="13"/>
    <row r="78" spans="1:7" ht="13"/>
  </sheetData>
  <mergeCells count="3">
    <mergeCell ref="C1:D2"/>
    <mergeCell ref="A20:C20"/>
    <mergeCell ref="D20:G20"/>
  </mergeCells>
  <phoneticPr fontId="26"/>
  <pageMargins left="0" right="0" top="0.39370078740157505" bottom="0.39370078740157505" header="0" footer="0"/>
  <pageSetup paperSize="0" scale="72" fitToWidth="0" fitToHeight="0" pageOrder="overThenDown" orientation="portrait" useFirstPageNumber="1" horizontalDpi="0" verticalDpi="0" copies="0"/>
  <headerFooter>
    <oddHeader>&amp;C&amp;A</oddHeader>
    <oddFooter>&amp;Cページ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会計報告書</vt:lpstr>
      <vt:lpstr>通帳</vt:lpstr>
      <vt:lpstr>持出金</vt:lpstr>
      <vt:lpstr>日計</vt:lpstr>
      <vt:lpstr>まとめ_</vt:lpstr>
      <vt:lpstr>会計報告書!Print_Area</vt:lpstr>
      <vt:lpstr>持出金!Print_Area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KOKI</cp:lastModifiedBy>
  <cp:revision>41</cp:revision>
  <cp:lastPrinted>2019-03-11T10:29:44Z</cp:lastPrinted>
  <dcterms:created xsi:type="dcterms:W3CDTF">2016-03-13T04:41:20Z</dcterms:created>
  <dcterms:modified xsi:type="dcterms:W3CDTF">2019-03-13T13:55:00Z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